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55140" yWindow="2000" windowWidth="47200" windowHeight="22880" tabRatio="500"/>
  </bookViews>
  <sheets>
    <sheet name="SPEC" sheetId="3" r:id="rId1"/>
    <sheet name="SCAM" sheetId="4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0" i="3" l="1"/>
  <c r="J80" i="3"/>
  <c r="K80" i="3"/>
  <c r="L80" i="3"/>
  <c r="F80" i="3"/>
  <c r="M80" i="3"/>
  <c r="N80" i="3"/>
  <c r="O80" i="3"/>
  <c r="P80" i="3"/>
  <c r="V80" i="3"/>
  <c r="W80" i="3"/>
  <c r="D80" i="3"/>
  <c r="X80" i="3"/>
  <c r="I80" i="3"/>
  <c r="C80" i="3"/>
  <c r="B80" i="3"/>
  <c r="T42" i="3"/>
  <c r="U42" i="3"/>
  <c r="V42" i="3"/>
  <c r="X42" i="3"/>
  <c r="W42" i="3"/>
  <c r="B78" i="3"/>
  <c r="B77" i="3"/>
  <c r="B76" i="3"/>
  <c r="E64" i="3"/>
  <c r="J64" i="3"/>
  <c r="K64" i="3"/>
  <c r="L64" i="3"/>
  <c r="F64" i="3"/>
  <c r="M64" i="3"/>
  <c r="N64" i="3"/>
  <c r="O64" i="3"/>
  <c r="P64" i="3"/>
  <c r="V64" i="3"/>
  <c r="W64" i="3"/>
  <c r="D64" i="3"/>
  <c r="X64" i="3"/>
  <c r="I64" i="3"/>
  <c r="C64" i="3"/>
  <c r="B64" i="3"/>
  <c r="F63" i="3"/>
  <c r="E63" i="3"/>
  <c r="D63" i="3"/>
  <c r="C63" i="3"/>
  <c r="B63" i="3"/>
  <c r="T25" i="3"/>
  <c r="U25" i="3"/>
  <c r="V25" i="3"/>
  <c r="X25" i="3"/>
  <c r="W25" i="3"/>
  <c r="T17" i="3"/>
  <c r="U17" i="3"/>
  <c r="V17" i="3"/>
  <c r="X17" i="3"/>
  <c r="W17" i="3"/>
  <c r="T35" i="3"/>
  <c r="U35" i="3"/>
  <c r="V35" i="3"/>
  <c r="X35" i="3"/>
  <c r="W35" i="3"/>
  <c r="E74" i="3"/>
  <c r="J74" i="3"/>
  <c r="K74" i="3"/>
  <c r="L74" i="3"/>
  <c r="F74" i="3"/>
  <c r="M74" i="3"/>
  <c r="N74" i="3"/>
  <c r="O74" i="3"/>
  <c r="P74" i="3"/>
  <c r="V74" i="3"/>
  <c r="W74" i="3"/>
  <c r="D74" i="3"/>
  <c r="X74" i="3"/>
  <c r="I74" i="3"/>
  <c r="C74" i="3"/>
  <c r="B74" i="3"/>
  <c r="E56" i="3"/>
  <c r="J56" i="3"/>
  <c r="K56" i="3"/>
  <c r="L56" i="3"/>
  <c r="F56" i="3"/>
  <c r="M56" i="3"/>
  <c r="N56" i="3"/>
  <c r="O56" i="3"/>
  <c r="P56" i="3"/>
  <c r="V56" i="3"/>
  <c r="W56" i="3"/>
  <c r="D56" i="3"/>
  <c r="X56" i="3"/>
  <c r="I56" i="3"/>
  <c r="C56" i="3"/>
  <c r="B56" i="3"/>
  <c r="T36" i="3"/>
  <c r="U36" i="3"/>
  <c r="V36" i="3"/>
  <c r="X36" i="3"/>
  <c r="W36" i="3"/>
  <c r="T18" i="3"/>
  <c r="U18" i="3"/>
  <c r="V18" i="3"/>
  <c r="X18" i="3"/>
  <c r="W18" i="3"/>
  <c r="E82" i="3"/>
  <c r="J82" i="3"/>
  <c r="K82" i="3"/>
  <c r="L82" i="3"/>
  <c r="F82" i="3"/>
  <c r="M82" i="3"/>
  <c r="N82" i="3"/>
  <c r="O82" i="3"/>
  <c r="P82" i="3"/>
  <c r="V82" i="3"/>
  <c r="W82" i="3"/>
  <c r="D82" i="3"/>
  <c r="X82" i="3"/>
  <c r="I82" i="3"/>
  <c r="C82" i="3"/>
  <c r="B82" i="3"/>
  <c r="T44" i="3"/>
  <c r="U44" i="3"/>
  <c r="V44" i="3"/>
  <c r="X44" i="3"/>
  <c r="W44" i="3"/>
  <c r="E81" i="3"/>
  <c r="J81" i="3"/>
  <c r="K81" i="3"/>
  <c r="L81" i="3"/>
  <c r="F81" i="3"/>
  <c r="M81" i="3"/>
  <c r="N81" i="3"/>
  <c r="O81" i="3"/>
  <c r="P81" i="3"/>
  <c r="V81" i="3"/>
  <c r="W81" i="3"/>
  <c r="D81" i="3"/>
  <c r="X81" i="3"/>
  <c r="I81" i="3"/>
  <c r="C81" i="3"/>
  <c r="B81" i="3"/>
  <c r="T43" i="3"/>
  <c r="U43" i="3"/>
  <c r="V43" i="3"/>
  <c r="X43" i="3"/>
  <c r="W43" i="3"/>
  <c r="E79" i="3"/>
  <c r="J79" i="3"/>
  <c r="K79" i="3"/>
  <c r="L79" i="3"/>
  <c r="F79" i="3"/>
  <c r="M79" i="3"/>
  <c r="N79" i="3"/>
  <c r="O79" i="3"/>
  <c r="P79" i="3"/>
  <c r="V79" i="3"/>
  <c r="W79" i="3"/>
  <c r="D79" i="3"/>
  <c r="X79" i="3"/>
  <c r="I79" i="3"/>
  <c r="C79" i="3"/>
  <c r="B79" i="3"/>
  <c r="T41" i="3"/>
  <c r="U41" i="3"/>
  <c r="V41" i="3"/>
  <c r="X41" i="3"/>
  <c r="W41" i="3"/>
  <c r="T40" i="3"/>
  <c r="U40" i="3"/>
  <c r="V40" i="3"/>
  <c r="X40" i="3"/>
  <c r="W40" i="3"/>
  <c r="T39" i="3"/>
  <c r="U39" i="3"/>
  <c r="V39" i="3"/>
  <c r="X39" i="3"/>
  <c r="W39" i="3"/>
  <c r="T38" i="3"/>
  <c r="U38" i="3"/>
  <c r="V38" i="3"/>
  <c r="X38" i="3"/>
  <c r="W38" i="3"/>
  <c r="J12" i="4"/>
  <c r="J11" i="4"/>
  <c r="J10" i="4"/>
  <c r="J9" i="4"/>
  <c r="J8" i="4"/>
  <c r="J7" i="4"/>
  <c r="J6" i="4"/>
  <c r="J21" i="4"/>
  <c r="J20" i="4"/>
  <c r="J19" i="4"/>
  <c r="J18" i="4"/>
  <c r="J17" i="4"/>
  <c r="J16" i="4"/>
  <c r="J22" i="4"/>
  <c r="J23" i="4"/>
  <c r="C78" i="3"/>
  <c r="C77" i="3"/>
  <c r="C76" i="3"/>
  <c r="C73" i="3"/>
  <c r="C72" i="3"/>
  <c r="C71" i="3"/>
  <c r="C70" i="3"/>
  <c r="C66" i="3"/>
  <c r="C65" i="3"/>
  <c r="C62" i="3"/>
  <c r="C61" i="3"/>
  <c r="C60" i="3"/>
  <c r="C58" i="3"/>
  <c r="C57" i="3"/>
  <c r="C55" i="3"/>
  <c r="C54" i="3"/>
  <c r="C53" i="3"/>
  <c r="C52" i="3"/>
  <c r="E78" i="3"/>
  <c r="J78" i="3"/>
  <c r="K78" i="3"/>
  <c r="L78" i="3"/>
  <c r="F78" i="3"/>
  <c r="M78" i="3"/>
  <c r="N78" i="3"/>
  <c r="O78" i="3"/>
  <c r="P78" i="3"/>
  <c r="V78" i="3"/>
  <c r="W78" i="3"/>
  <c r="D78" i="3"/>
  <c r="X78" i="3"/>
  <c r="I78" i="3"/>
  <c r="E77" i="3"/>
  <c r="J77" i="3"/>
  <c r="K77" i="3"/>
  <c r="L77" i="3"/>
  <c r="F77" i="3"/>
  <c r="M77" i="3"/>
  <c r="N77" i="3"/>
  <c r="O77" i="3"/>
  <c r="P77" i="3"/>
  <c r="V77" i="3"/>
  <c r="W77" i="3"/>
  <c r="D77" i="3"/>
  <c r="X77" i="3"/>
  <c r="I77" i="3"/>
  <c r="E76" i="3"/>
  <c r="J76" i="3"/>
  <c r="K76" i="3"/>
  <c r="L76" i="3"/>
  <c r="F76" i="3"/>
  <c r="M76" i="3"/>
  <c r="N76" i="3"/>
  <c r="O76" i="3"/>
  <c r="P76" i="3"/>
  <c r="V76" i="3"/>
  <c r="W76" i="3"/>
  <c r="D76" i="3"/>
  <c r="X76" i="3"/>
  <c r="I76" i="3"/>
  <c r="E73" i="3"/>
  <c r="J73" i="3"/>
  <c r="K73" i="3"/>
  <c r="L73" i="3"/>
  <c r="F73" i="3"/>
  <c r="M73" i="3"/>
  <c r="N73" i="3"/>
  <c r="O73" i="3"/>
  <c r="P73" i="3"/>
  <c r="V73" i="3"/>
  <c r="W73" i="3"/>
  <c r="D73" i="3"/>
  <c r="X73" i="3"/>
  <c r="I73" i="3"/>
  <c r="B73" i="3"/>
  <c r="E72" i="3"/>
  <c r="J72" i="3"/>
  <c r="K72" i="3"/>
  <c r="L72" i="3"/>
  <c r="F72" i="3"/>
  <c r="M72" i="3"/>
  <c r="N72" i="3"/>
  <c r="O72" i="3"/>
  <c r="P72" i="3"/>
  <c r="V72" i="3"/>
  <c r="W72" i="3"/>
  <c r="D72" i="3"/>
  <c r="X72" i="3"/>
  <c r="I72" i="3"/>
  <c r="B72" i="3"/>
  <c r="E71" i="3"/>
  <c r="J71" i="3"/>
  <c r="K71" i="3"/>
  <c r="L71" i="3"/>
  <c r="F71" i="3"/>
  <c r="M71" i="3"/>
  <c r="N71" i="3"/>
  <c r="O71" i="3"/>
  <c r="P71" i="3"/>
  <c r="V71" i="3"/>
  <c r="W71" i="3"/>
  <c r="D71" i="3"/>
  <c r="X71" i="3"/>
  <c r="I71" i="3"/>
  <c r="B71" i="3"/>
  <c r="E70" i="3"/>
  <c r="J70" i="3"/>
  <c r="K70" i="3"/>
  <c r="L70" i="3"/>
  <c r="F70" i="3"/>
  <c r="M70" i="3"/>
  <c r="N70" i="3"/>
  <c r="O70" i="3"/>
  <c r="P70" i="3"/>
  <c r="V70" i="3"/>
  <c r="W70" i="3"/>
  <c r="D70" i="3"/>
  <c r="X70" i="3"/>
  <c r="I70" i="3"/>
  <c r="B70" i="3"/>
  <c r="F66" i="3"/>
  <c r="F65" i="3"/>
  <c r="F62" i="3"/>
  <c r="F61" i="3"/>
  <c r="F60" i="3"/>
  <c r="F58" i="3"/>
  <c r="F57" i="3"/>
  <c r="F55" i="3"/>
  <c r="F54" i="3"/>
  <c r="F53" i="3"/>
  <c r="F52" i="3"/>
  <c r="E66" i="3"/>
  <c r="E65" i="3"/>
  <c r="E62" i="3"/>
  <c r="E61" i="3"/>
  <c r="E60" i="3"/>
  <c r="E58" i="3"/>
  <c r="E57" i="3"/>
  <c r="E55" i="3"/>
  <c r="E54" i="3"/>
  <c r="E53" i="3"/>
  <c r="E52" i="3"/>
  <c r="D66" i="3"/>
  <c r="D65" i="3"/>
  <c r="D62" i="3"/>
  <c r="D61" i="3"/>
  <c r="D60" i="3"/>
  <c r="D58" i="3"/>
  <c r="D57" i="3"/>
  <c r="D55" i="3"/>
  <c r="D54" i="3"/>
  <c r="D53" i="3"/>
  <c r="D52" i="3"/>
  <c r="B66" i="3"/>
  <c r="B65" i="3"/>
  <c r="B62" i="3"/>
  <c r="B61" i="3"/>
  <c r="B60" i="3"/>
  <c r="B58" i="3"/>
  <c r="B57" i="3"/>
  <c r="B55" i="3"/>
  <c r="B54" i="3"/>
  <c r="B53" i="3"/>
  <c r="B52" i="3"/>
  <c r="T28" i="3"/>
  <c r="U28" i="3"/>
  <c r="V28" i="3"/>
  <c r="X28" i="3"/>
  <c r="W28" i="3"/>
  <c r="T27" i="3"/>
  <c r="U27" i="3"/>
  <c r="V27" i="3"/>
  <c r="X27" i="3"/>
  <c r="W27" i="3"/>
  <c r="J66" i="3"/>
  <c r="K66" i="3"/>
  <c r="L66" i="3"/>
  <c r="M66" i="3"/>
  <c r="N66" i="3"/>
  <c r="O66" i="3"/>
  <c r="P66" i="3"/>
  <c r="V66" i="3"/>
  <c r="W66" i="3"/>
  <c r="X66" i="3"/>
  <c r="I66" i="3"/>
  <c r="J65" i="3"/>
  <c r="K65" i="3"/>
  <c r="L65" i="3"/>
  <c r="M65" i="3"/>
  <c r="N65" i="3"/>
  <c r="O65" i="3"/>
  <c r="P65" i="3"/>
  <c r="V65" i="3"/>
  <c r="W65" i="3"/>
  <c r="X65" i="3"/>
  <c r="I65" i="3"/>
  <c r="J62" i="3"/>
  <c r="K62" i="3"/>
  <c r="L62" i="3"/>
  <c r="M62" i="3"/>
  <c r="N62" i="3"/>
  <c r="O62" i="3"/>
  <c r="P62" i="3"/>
  <c r="V62" i="3"/>
  <c r="W62" i="3"/>
  <c r="X62" i="3"/>
  <c r="I62" i="3"/>
  <c r="J61" i="3"/>
  <c r="K61" i="3"/>
  <c r="L61" i="3"/>
  <c r="M61" i="3"/>
  <c r="N61" i="3"/>
  <c r="O61" i="3"/>
  <c r="P61" i="3"/>
  <c r="V61" i="3"/>
  <c r="W61" i="3"/>
  <c r="X61" i="3"/>
  <c r="I61" i="3"/>
  <c r="J60" i="3"/>
  <c r="K60" i="3"/>
  <c r="L60" i="3"/>
  <c r="M60" i="3"/>
  <c r="N60" i="3"/>
  <c r="O60" i="3"/>
  <c r="P60" i="3"/>
  <c r="V60" i="3"/>
  <c r="W60" i="3"/>
  <c r="X60" i="3"/>
  <c r="I60" i="3"/>
  <c r="T22" i="3"/>
  <c r="U22" i="3"/>
  <c r="V22" i="3"/>
  <c r="X22" i="3"/>
  <c r="W22" i="3"/>
  <c r="T23" i="3"/>
  <c r="U23" i="3"/>
  <c r="V23" i="3"/>
  <c r="X23" i="3"/>
  <c r="W23" i="3"/>
  <c r="T24" i="3"/>
  <c r="U24" i="3"/>
  <c r="V24" i="3"/>
  <c r="X24" i="3"/>
  <c r="W24" i="3"/>
  <c r="T26" i="3"/>
  <c r="U26" i="3"/>
  <c r="V26" i="3"/>
  <c r="X26" i="3"/>
  <c r="W26" i="3"/>
  <c r="J63" i="3"/>
  <c r="K63" i="3"/>
  <c r="L63" i="3"/>
  <c r="M63" i="3"/>
  <c r="N63" i="3"/>
  <c r="O63" i="3"/>
  <c r="P63" i="3"/>
  <c r="V63" i="3"/>
  <c r="W63" i="3"/>
  <c r="X63" i="3"/>
  <c r="I63" i="3"/>
  <c r="J57" i="3"/>
  <c r="K57" i="3"/>
  <c r="L57" i="3"/>
  <c r="M57" i="3"/>
  <c r="N57" i="3"/>
  <c r="O57" i="3"/>
  <c r="P57" i="3"/>
  <c r="V57" i="3"/>
  <c r="W57" i="3"/>
  <c r="X57" i="3"/>
  <c r="I57" i="3"/>
  <c r="T19" i="3"/>
  <c r="U19" i="3"/>
  <c r="V19" i="3"/>
  <c r="X19" i="3"/>
  <c r="W19" i="3"/>
  <c r="J58" i="3"/>
  <c r="K58" i="3"/>
  <c r="L58" i="3"/>
  <c r="M58" i="3"/>
  <c r="N58" i="3"/>
  <c r="O58" i="3"/>
  <c r="P58" i="3"/>
  <c r="V58" i="3"/>
  <c r="W58" i="3"/>
  <c r="X58" i="3"/>
  <c r="I58" i="3"/>
  <c r="T20" i="3"/>
  <c r="U20" i="3"/>
  <c r="V20" i="3"/>
  <c r="X20" i="3"/>
  <c r="W20" i="3"/>
  <c r="J55" i="3"/>
  <c r="K55" i="3"/>
  <c r="L55" i="3"/>
  <c r="M55" i="3"/>
  <c r="N55" i="3"/>
  <c r="O55" i="3"/>
  <c r="P55" i="3"/>
  <c r="V55" i="3"/>
  <c r="W55" i="3"/>
  <c r="X55" i="3"/>
  <c r="I55" i="3"/>
  <c r="J54" i="3"/>
  <c r="K54" i="3"/>
  <c r="L54" i="3"/>
  <c r="M54" i="3"/>
  <c r="N54" i="3"/>
  <c r="O54" i="3"/>
  <c r="P54" i="3"/>
  <c r="V54" i="3"/>
  <c r="W54" i="3"/>
  <c r="X54" i="3"/>
  <c r="I54" i="3"/>
  <c r="T16" i="3"/>
  <c r="U16" i="3"/>
  <c r="V16" i="3"/>
  <c r="X16" i="3"/>
  <c r="W16" i="3"/>
  <c r="J52" i="3"/>
  <c r="K52" i="3"/>
  <c r="L52" i="3"/>
  <c r="M52" i="3"/>
  <c r="N52" i="3"/>
  <c r="O52" i="3"/>
  <c r="P52" i="3"/>
  <c r="V52" i="3"/>
  <c r="W52" i="3"/>
  <c r="X52" i="3"/>
  <c r="I52" i="3"/>
  <c r="T14" i="3"/>
  <c r="U14" i="3"/>
  <c r="V14" i="3"/>
  <c r="X14" i="3"/>
  <c r="W14" i="3"/>
  <c r="J53" i="3"/>
  <c r="K53" i="3"/>
  <c r="L53" i="3"/>
  <c r="M53" i="3"/>
  <c r="N53" i="3"/>
  <c r="O53" i="3"/>
  <c r="P53" i="3"/>
  <c r="V53" i="3"/>
  <c r="W53" i="3"/>
  <c r="X53" i="3"/>
  <c r="I53" i="3"/>
  <c r="T15" i="3"/>
  <c r="U15" i="3"/>
  <c r="V15" i="3"/>
  <c r="X15" i="3"/>
  <c r="W15" i="3"/>
  <c r="T34" i="3"/>
  <c r="U34" i="3"/>
  <c r="V34" i="3"/>
  <c r="X34" i="3"/>
  <c r="W34" i="3"/>
  <c r="T33" i="3"/>
  <c r="U33" i="3"/>
  <c r="V33" i="3"/>
  <c r="X33" i="3"/>
  <c r="W33" i="3"/>
  <c r="T32" i="3"/>
  <c r="U32" i="3"/>
  <c r="V32" i="3"/>
  <c r="X32" i="3"/>
  <c r="W32" i="3"/>
</calcChain>
</file>

<file path=xl/sharedStrings.xml><?xml version="1.0" encoding="utf-8"?>
<sst xmlns="http://schemas.openxmlformats.org/spreadsheetml/2006/main" count="444" uniqueCount="221">
  <si>
    <t>Throughput</t>
  </si>
  <si>
    <t>Telescope Area (m^2)</t>
  </si>
  <si>
    <t>Jy @ 0 mag</t>
  </si>
  <si>
    <t>Kband</t>
  </si>
  <si>
    <t>Delta Lambda</t>
  </si>
  <si>
    <t>Lamba</t>
  </si>
  <si>
    <t>m^2</t>
  </si>
  <si>
    <t>Pass band</t>
  </si>
  <si>
    <t>Microns</t>
  </si>
  <si>
    <t>Angstrom/Pix</t>
  </si>
  <si>
    <t>Source Flux</t>
  </si>
  <si>
    <t>Jy</t>
  </si>
  <si>
    <t>Constants</t>
  </si>
  <si>
    <t>1 Jansky</t>
  </si>
  <si>
    <t>photons s-1 m-2 lam del_lam-1</t>
  </si>
  <si>
    <t>Incident Photon Flux</t>
  </si>
  <si>
    <t>phot s-1 pix-1</t>
  </si>
  <si>
    <t>SPEC gain</t>
  </si>
  <si>
    <t>e DN-1</t>
  </si>
  <si>
    <t>Itime</t>
  </si>
  <si>
    <t>sec</t>
  </si>
  <si>
    <t>DN</t>
  </si>
  <si>
    <t>e s-1 pix-1</t>
  </si>
  <si>
    <t>Theoretical Sensitivity</t>
  </si>
  <si>
    <t>DN s-1</t>
  </si>
  <si>
    <t>dk current</t>
  </si>
  <si>
    <t>readnoise</t>
  </si>
  <si>
    <t>e</t>
  </si>
  <si>
    <t>Total Signal</t>
  </si>
  <si>
    <t>Background Noise (Bt)</t>
  </si>
  <si>
    <t>Source Noise (St)</t>
  </si>
  <si>
    <t>Darkcurrent</t>
  </si>
  <si>
    <t>e (Sgt)</t>
  </si>
  <si>
    <t>e (Sgt)^1/2</t>
  </si>
  <si>
    <t>e (Bgt)^1/2</t>
  </si>
  <si>
    <t>e (Dgt)^1/2</t>
  </si>
  <si>
    <t>ReadNoise</t>
  </si>
  <si>
    <t>Total Noise</t>
  </si>
  <si>
    <t>e (RN)</t>
  </si>
  <si>
    <t>e (total)</t>
  </si>
  <si>
    <t>Total DN pix-1</t>
  </si>
  <si>
    <t>SNR pix-1</t>
  </si>
  <si>
    <t>Scaling case:  assuming source noise limit</t>
  </si>
  <si>
    <t>mag increase</t>
  </si>
  <si>
    <t>Target Itime</t>
  </si>
  <si>
    <t>New SNR</t>
  </si>
  <si>
    <t>for orig mag</t>
  </si>
  <si>
    <t>Magnitude</t>
  </si>
  <si>
    <t>Zero Point</t>
  </si>
  <si>
    <t>Mag @1 e s-1</t>
  </si>
  <si>
    <t>Slit</t>
  </si>
  <si>
    <t>Order</t>
  </si>
  <si>
    <t>Hband</t>
  </si>
  <si>
    <t>Filter</t>
  </si>
  <si>
    <t>N7</t>
  </si>
  <si>
    <t>N5</t>
  </si>
  <si>
    <t>Echelle Angle</t>
  </si>
  <si>
    <t>XD angle</t>
  </si>
  <si>
    <t>Kband,  Non-AO</t>
  </si>
  <si>
    <t>Hband, Non-AO</t>
  </si>
  <si>
    <t>Jband, Non-AO</t>
  </si>
  <si>
    <t>N3</t>
  </si>
  <si>
    <t>Jband</t>
  </si>
  <si>
    <t>Yband, Non-AO</t>
  </si>
  <si>
    <t>Yband</t>
  </si>
  <si>
    <t>N1</t>
  </si>
  <si>
    <t>Lband, Non-AO</t>
  </si>
  <si>
    <t>Lband</t>
  </si>
  <si>
    <t>0.432x24</t>
  </si>
  <si>
    <t>Empiracle SNR</t>
  </si>
  <si>
    <t>KL</t>
  </si>
  <si>
    <t>Star</t>
  </si>
  <si>
    <t xml:space="preserve"> </t>
  </si>
  <si>
    <t xml:space="preserve">Kband,  AO </t>
  </si>
  <si>
    <t>Kband, AO</t>
  </si>
  <si>
    <t>0.0679x1.13</t>
  </si>
  <si>
    <t>magnitude</t>
  </si>
  <si>
    <t>Hband, AO</t>
  </si>
  <si>
    <t>Jband, AO</t>
  </si>
  <si>
    <t>Lband, AO</t>
  </si>
  <si>
    <t>Mband, AO</t>
  </si>
  <si>
    <t>Mband</t>
  </si>
  <si>
    <t>M-wide</t>
  </si>
  <si>
    <t>Mband, Non-AO</t>
  </si>
  <si>
    <t>Sky Rate</t>
  </si>
  <si>
    <t>Lambda</t>
  </si>
  <si>
    <t>microns</t>
  </si>
  <si>
    <t>DN s-1 pix-1</t>
  </si>
  <si>
    <t>HIGH RES</t>
  </si>
  <si>
    <t>LOW RES</t>
  </si>
  <si>
    <t>HIP24508</t>
  </si>
  <si>
    <t>2019nov14</t>
  </si>
  <si>
    <t>lowres</t>
  </si>
  <si>
    <t>28,29</t>
  </si>
  <si>
    <t>0.380x42</t>
  </si>
  <si>
    <t>46,47</t>
  </si>
  <si>
    <t>Yband, AO</t>
  </si>
  <si>
    <t>AO</t>
  </si>
  <si>
    <t>Non-AO</t>
  </si>
  <si>
    <t>Filters</t>
  </si>
  <si>
    <t>Mwide+Mp</t>
  </si>
  <si>
    <t>KL+Lp</t>
  </si>
  <si>
    <t>KL+Shortpass</t>
  </si>
  <si>
    <t>N7+shortpass</t>
  </si>
  <si>
    <t>N5+shortpass</t>
  </si>
  <si>
    <t>N3+shortpass</t>
  </si>
  <si>
    <t>N1+shortpass</t>
  </si>
  <si>
    <t>Sky Flux</t>
  </si>
  <si>
    <t>Background Rate</t>
  </si>
  <si>
    <t>Date OBS</t>
  </si>
  <si>
    <t>nscam</t>
  </si>
  <si>
    <t>UT</t>
  </si>
  <si>
    <t>N7+Shortpass</t>
  </si>
  <si>
    <t>0.0407x2.26</t>
  </si>
  <si>
    <t>N5+Shortpass</t>
  </si>
  <si>
    <t>N1+Shortpass</t>
  </si>
  <si>
    <t>N3+Shortpass</t>
  </si>
  <si>
    <t>0.432x12</t>
  </si>
  <si>
    <t>p389-d</t>
  </si>
  <si>
    <t>BS8541</t>
  </si>
  <si>
    <t>Kband,  AO</t>
  </si>
  <si>
    <t>p338-c</t>
  </si>
  <si>
    <t>2020jun06</t>
  </si>
  <si>
    <t>Date (UT)</t>
  </si>
  <si>
    <t>0.0717 x 3.96</t>
  </si>
  <si>
    <t>HIP98640</t>
  </si>
  <si>
    <t>HD203856</t>
  </si>
  <si>
    <t>0.0717x3.96</t>
  </si>
  <si>
    <t>% total transmission (Sky+Telescope+Instrument)</t>
  </si>
  <si>
    <t>Summed Counts (integrated @ lamdba)</t>
  </si>
  <si>
    <t xml:space="preserve">Yband, Non-AO </t>
  </si>
  <si>
    <t>Background Flux</t>
  </si>
  <si>
    <t>Total Itime</t>
  </si>
  <si>
    <t>sec x coadds</t>
  </si>
  <si>
    <t>Total DN/pix</t>
  </si>
  <si>
    <t>Vega system</t>
  </si>
  <si>
    <t>Star Name</t>
  </si>
  <si>
    <t>Target SNR</t>
  </si>
  <si>
    <t>(meas. from spectrum)</t>
  </si>
  <si>
    <t>for Target itime &amp; SNR</t>
  </si>
  <si>
    <t>Final Mag Limit</t>
  </si>
  <si>
    <t>spec+scam</t>
  </si>
  <si>
    <t>Sky Counts</t>
  </si>
  <si>
    <t>Kband, Non-AO</t>
  </si>
  <si>
    <t>User input values</t>
  </si>
  <si>
    <t>Program output values</t>
  </si>
  <si>
    <t>Detector constants</t>
  </si>
  <si>
    <t>Frame #s</t>
  </si>
  <si>
    <t>Meas Flux</t>
  </si>
  <si>
    <t>Other Notes</t>
  </si>
  <si>
    <t>GD71</t>
  </si>
  <si>
    <t>2020oct04</t>
  </si>
  <si>
    <t>0.570x42</t>
  </si>
  <si>
    <t>23,22</t>
  </si>
  <si>
    <t>* significant slit losses due to poor seeing</t>
  </si>
  <si>
    <t>PSF Gaussfit: 64 mas</t>
  </si>
  <si>
    <t>PSF Gaussfit:64 mas</t>
  </si>
  <si>
    <t>PSF Gaussfit: 71 mas</t>
  </si>
  <si>
    <t>SPEC spatial profile  1.07"</t>
  </si>
  <si>
    <t>SPEC spatial profile  0.59"</t>
  </si>
  <si>
    <t>SPEC spatial profile  0.46"</t>
  </si>
  <si>
    <t>SPEC spatial profile  0.49"</t>
  </si>
  <si>
    <t>Seeing or PSF</t>
  </si>
  <si>
    <t>Path to Data</t>
  </si>
  <si>
    <t>/s/sdata600/nspec9/2020jun06/scam/</t>
  </si>
  <si>
    <t>True Itime</t>
  </si>
  <si>
    <t>Coadds</t>
  </si>
  <si>
    <t>DN/s</t>
  </si>
  <si>
    <t>/s/sdata600/nspec8/2020jun03_B/scam/</t>
  </si>
  <si>
    <t>1026-1031</t>
  </si>
  <si>
    <t>973-977</t>
  </si>
  <si>
    <t>799-803</t>
  </si>
  <si>
    <t>Background Levels for SCAM</t>
  </si>
  <si>
    <t>2-6</t>
  </si>
  <si>
    <t>248-252</t>
  </si>
  <si>
    <t>51</t>
  </si>
  <si>
    <t>3367-3372</t>
  </si>
  <si>
    <t>3097-3102</t>
  </si>
  <si>
    <t>3428-3432</t>
  </si>
  <si>
    <t>3485-3490</t>
  </si>
  <si>
    <t>FS107</t>
  </si>
  <si>
    <t>2021sep24</t>
  </si>
  <si>
    <t>15</t>
  </si>
  <si>
    <t>Lband,  AO</t>
  </si>
  <si>
    <t>39</t>
  </si>
  <si>
    <t>PSF Gaussfit: 77mas</t>
  </si>
  <si>
    <t>Mband,  AO</t>
  </si>
  <si>
    <t>HIP18907</t>
  </si>
  <si>
    <t>49</t>
  </si>
  <si>
    <t>Mwide</t>
  </si>
  <si>
    <t>PSF Gaussfit: 100mas</t>
  </si>
  <si>
    <t>FS126</t>
  </si>
  <si>
    <t>2022mar11</t>
  </si>
  <si>
    <t>0.720x12</t>
  </si>
  <si>
    <t>SPEC spatial profile:  0.78"</t>
  </si>
  <si>
    <t>SPEC spatial profile:  0.73"</t>
  </si>
  <si>
    <t>SPEC spatial profile:  0.59"</t>
  </si>
  <si>
    <t>0.720x24</t>
  </si>
  <si>
    <t>HD84800</t>
  </si>
  <si>
    <t>SPEC spatial profile  0.73"</t>
  </si>
  <si>
    <t>SPEC spatial profile:  n/a</t>
  </si>
  <si>
    <t>Kband-new</t>
  </si>
  <si>
    <t>SPEC spatial profile  0.65"</t>
  </si>
  <si>
    <t>0.760x42</t>
  </si>
  <si>
    <t>SPEC spatial profile  0.74"</t>
  </si>
  <si>
    <t>Spreadsheet for Calculating NIRSPEC quantities:  G. Doppmann  2022Dec01</t>
  </si>
  <si>
    <t>FS2</t>
  </si>
  <si>
    <t>2022nov07</t>
  </si>
  <si>
    <t>PSF Gaussfit: 53 mas</t>
  </si>
  <si>
    <t>PSF Gaussfit: 60 mas</t>
  </si>
  <si>
    <t>PSF Gaussfit: 73 mas</t>
  </si>
  <si>
    <t>PSF Gaussfit: 67 mas</t>
  </si>
  <si>
    <t>13</t>
  </si>
  <si>
    <t>PSF Gaussfit: 87 mas</t>
  </si>
  <si>
    <t>PSF Gaussfit: 86 mas</t>
  </si>
  <si>
    <t>PSF Gaussfit: 66 mas</t>
  </si>
  <si>
    <t>17</t>
  </si>
  <si>
    <t>PSF Gaussfit: 56 mas</t>
  </si>
  <si>
    <t>19</t>
  </si>
  <si>
    <t>22</t>
  </si>
  <si>
    <t>PSF Gaussfit: 61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</si>
</sst>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20"/>
      <color theme="1"/>
      <name val="Calibri"/>
      <scheme val="minor"/>
    </font>
    <font>
      <b/>
      <sz val="12"/>
      <color rgb="FF000000"/>
      <name val="Calibri"/>
      <scheme val="minor"/>
    </font>
    <font>
      <b/>
      <sz val="12"/>
      <name val="Calibri"/>
      <scheme val="minor"/>
    </font>
    <font>
      <b/>
      <sz val="16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E98D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9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164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1" fontId="0" fillId="0" borderId="0" xfId="0" applyNumberFormat="1" applyFill="1"/>
    <xf numFmtId="166" fontId="0" fillId="0" borderId="0" xfId="0" applyNumberFormat="1" applyFill="1"/>
    <xf numFmtId="2" fontId="0" fillId="0" borderId="0" xfId="0" applyNumberFormat="1" applyFill="1"/>
    <xf numFmtId="0" fontId="0" fillId="3" borderId="0" xfId="0" applyFill="1"/>
    <xf numFmtId="0" fontId="0" fillId="0" borderId="0" xfId="0" quotePrefix="1"/>
    <xf numFmtId="15" fontId="0" fillId="0" borderId="0" xfId="0" applyNumberFormat="1"/>
    <xf numFmtId="1" fontId="0" fillId="3" borderId="0" xfId="0" applyNumberFormat="1" applyFill="1"/>
    <xf numFmtId="0" fontId="4" fillId="0" borderId="0" xfId="0" applyFont="1"/>
    <xf numFmtId="0" fontId="3" fillId="0" borderId="0" xfId="0" applyFont="1"/>
    <xf numFmtId="0" fontId="3" fillId="2" borderId="0" xfId="0" applyFont="1" applyFill="1"/>
    <xf numFmtId="0" fontId="5" fillId="2" borderId="0" xfId="0" applyFont="1" applyFill="1"/>
    <xf numFmtId="0" fontId="5" fillId="0" borderId="0" xfId="0" applyFont="1"/>
    <xf numFmtId="2" fontId="5" fillId="2" borderId="0" xfId="0" applyNumberFormat="1" applyFont="1" applyFill="1"/>
    <xf numFmtId="164" fontId="5" fillId="0" borderId="0" xfId="0" applyNumberFormat="1" applyFont="1" applyFill="1"/>
    <xf numFmtId="1" fontId="5" fillId="0" borderId="0" xfId="0" applyNumberFormat="1" applyFont="1"/>
    <xf numFmtId="166" fontId="5" fillId="2" borderId="0" xfId="0" applyNumberFormat="1" applyFont="1" applyFill="1"/>
    <xf numFmtId="2" fontId="5" fillId="0" borderId="0" xfId="0" applyNumberFormat="1" applyFont="1"/>
    <xf numFmtId="2" fontId="5" fillId="3" borderId="0" xfId="0" applyNumberFormat="1" applyFont="1" applyFill="1"/>
    <xf numFmtId="0" fontId="5" fillId="0" borderId="0" xfId="0" applyFont="1" applyFill="1"/>
    <xf numFmtId="165" fontId="5" fillId="0" borderId="0" xfId="0" applyNumberFormat="1" applyFont="1" applyFill="1"/>
    <xf numFmtId="1" fontId="5" fillId="0" borderId="0" xfId="0" applyNumberFormat="1" applyFont="1" applyFill="1"/>
    <xf numFmtId="166" fontId="5" fillId="0" borderId="0" xfId="0" applyNumberFormat="1" applyFont="1" applyFill="1"/>
    <xf numFmtId="2" fontId="5" fillId="0" borderId="0" xfId="0" applyNumberFormat="1" applyFont="1" applyFill="1"/>
    <xf numFmtId="0" fontId="5" fillId="4" borderId="0" xfId="0" applyFont="1" applyFill="1"/>
    <xf numFmtId="166" fontId="5" fillId="3" borderId="0" xfId="0" applyNumberFormat="1" applyFont="1" applyFill="1"/>
    <xf numFmtId="0" fontId="6" fillId="0" borderId="0" xfId="0" applyFont="1"/>
    <xf numFmtId="164" fontId="5" fillId="5" borderId="0" xfId="0" applyNumberFormat="1" applyFont="1" applyFill="1"/>
    <xf numFmtId="0" fontId="5" fillId="5" borderId="0" xfId="0" applyFont="1" applyFill="1"/>
    <xf numFmtId="0" fontId="0" fillId="5" borderId="0" xfId="0" applyFill="1"/>
    <xf numFmtId="11" fontId="0" fillId="5" borderId="0" xfId="0" applyNumberFormat="1" applyFill="1"/>
    <xf numFmtId="0" fontId="5" fillId="2" borderId="0" xfId="0" applyNumberFormat="1" applyFont="1" applyFill="1"/>
    <xf numFmtId="0" fontId="7" fillId="0" borderId="0" xfId="0" applyFont="1"/>
    <xf numFmtId="0" fontId="8" fillId="0" borderId="0" xfId="0" applyFont="1" applyFill="1"/>
    <xf numFmtId="2" fontId="5" fillId="5" borderId="0" xfId="0" applyNumberFormat="1" applyFont="1" applyFill="1"/>
    <xf numFmtId="166" fontId="5" fillId="5" borderId="0" xfId="0" applyNumberFormat="1" applyFont="1" applyFill="1"/>
    <xf numFmtId="164" fontId="5" fillId="6" borderId="0" xfId="0" applyNumberFormat="1" applyFont="1" applyFill="1"/>
    <xf numFmtId="0" fontId="5" fillId="6" borderId="0" xfId="0" applyFont="1" applyFill="1"/>
    <xf numFmtId="165" fontId="5" fillId="6" borderId="0" xfId="0" applyNumberFormat="1" applyFont="1" applyFill="1"/>
    <xf numFmtId="0" fontId="5" fillId="0" borderId="0" xfId="0" applyNumberFormat="1" applyFont="1" applyFill="1"/>
    <xf numFmtId="0" fontId="0" fillId="0" borderId="0" xfId="0" applyNumberFormat="1" applyFill="1"/>
    <xf numFmtId="0" fontId="9" fillId="0" borderId="0" xfId="0" applyFont="1"/>
    <xf numFmtId="0" fontId="5" fillId="7" borderId="0" xfId="0" applyFont="1" applyFill="1"/>
    <xf numFmtId="164" fontId="5" fillId="7" borderId="0" xfId="0" applyNumberFormat="1" applyFont="1" applyFill="1"/>
    <xf numFmtId="2" fontId="0" fillId="2" borderId="0" xfId="0" applyNumberFormat="1" applyFill="1"/>
    <xf numFmtId="2" fontId="0" fillId="0" borderId="0" xfId="0" applyNumberFormat="1"/>
    <xf numFmtId="1" fontId="0" fillId="2" borderId="0" xfId="0" applyNumberFormat="1" applyFill="1"/>
    <xf numFmtId="1" fontId="0" fillId="0" borderId="0" xfId="0" applyNumberFormat="1"/>
    <xf numFmtId="49" fontId="0" fillId="0" borderId="0" xfId="0" applyNumberFormat="1"/>
    <xf numFmtId="166" fontId="0" fillId="5" borderId="0" xfId="0" applyNumberFormat="1" applyFill="1"/>
    <xf numFmtId="49" fontId="5" fillId="2" borderId="0" xfId="0" applyNumberFormat="1" applyFont="1" applyFill="1"/>
    <xf numFmtId="0" fontId="8" fillId="0" borderId="0" xfId="0" applyFont="1"/>
  </cellXfs>
  <cellStyles count="9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topLeftCell="A3" zoomScale="125" zoomScaleNormal="125" zoomScalePageLayoutView="125" workbookViewId="0">
      <selection activeCell="A5" sqref="A5"/>
    </sheetView>
  </sheetViews>
  <sheetFormatPr baseColWidth="10" defaultRowHeight="15" x14ac:dyDescent="0"/>
  <cols>
    <col min="1" max="1" width="18.33203125" customWidth="1"/>
    <col min="2" max="2" width="12.5" customWidth="1"/>
    <col min="3" max="3" width="13.1640625" customWidth="1"/>
    <col min="4" max="4" width="11.83203125" customWidth="1"/>
    <col min="5" max="5" width="13.83203125" customWidth="1"/>
    <col min="6" max="6" width="11.83203125" customWidth="1"/>
    <col min="8" max="8" width="12.83203125" customWidth="1"/>
    <col min="9" max="9" width="12.1640625" customWidth="1"/>
    <col min="11" max="11" width="12.33203125" customWidth="1"/>
    <col min="14" max="14" width="13.33203125" customWidth="1"/>
    <col min="17" max="17" width="12.83203125" customWidth="1"/>
    <col min="18" max="18" width="10" customWidth="1"/>
    <col min="19" max="19" width="12.5" customWidth="1"/>
    <col min="20" max="20" width="12.1640625" customWidth="1"/>
    <col min="22" max="22" width="12.1640625" customWidth="1"/>
  </cols>
  <sheetData>
    <row r="1" spans="1:24" ht="20">
      <c r="A1" s="45" t="s">
        <v>205</v>
      </c>
    </row>
    <row r="2" spans="1:24">
      <c r="B2" t="s">
        <v>144</v>
      </c>
      <c r="D2" s="1"/>
    </row>
    <row r="3" spans="1:24">
      <c r="B3" t="s">
        <v>145</v>
      </c>
      <c r="D3" s="22"/>
    </row>
    <row r="4" spans="1:24">
      <c r="B4" t="s">
        <v>146</v>
      </c>
      <c r="D4" s="38"/>
    </row>
    <row r="5" spans="1:24">
      <c r="D5" s="27"/>
    </row>
    <row r="6" spans="1:24" ht="25">
      <c r="A6" s="30" t="s">
        <v>0</v>
      </c>
      <c r="G6" t="s">
        <v>12</v>
      </c>
      <c r="I6" s="33" t="s">
        <v>1</v>
      </c>
      <c r="J6" s="33" t="s">
        <v>13</v>
      </c>
      <c r="K6" s="33"/>
      <c r="L6" s="33"/>
      <c r="M6" s="33" t="s">
        <v>17</v>
      </c>
      <c r="N6" s="33" t="s">
        <v>25</v>
      </c>
      <c r="O6" s="33" t="s">
        <v>26</v>
      </c>
    </row>
    <row r="7" spans="1:24">
      <c r="I7" s="33" t="s">
        <v>6</v>
      </c>
      <c r="J7" s="33" t="s">
        <v>14</v>
      </c>
      <c r="K7" s="33"/>
      <c r="L7" s="33"/>
      <c r="M7" s="33" t="s">
        <v>18</v>
      </c>
      <c r="N7" s="33" t="s">
        <v>24</v>
      </c>
      <c r="O7" s="33" t="s">
        <v>27</v>
      </c>
    </row>
    <row r="8" spans="1:24">
      <c r="I8" s="33">
        <v>72</v>
      </c>
      <c r="J8" s="34">
        <v>15100000</v>
      </c>
      <c r="K8" s="33"/>
      <c r="L8" s="33"/>
      <c r="M8" s="33">
        <v>3.01</v>
      </c>
      <c r="N8" s="33">
        <v>0.4</v>
      </c>
      <c r="O8" s="53">
        <v>11.6</v>
      </c>
    </row>
    <row r="10" spans="1:24">
      <c r="B10" t="s">
        <v>136</v>
      </c>
      <c r="C10" t="s">
        <v>7</v>
      </c>
      <c r="D10" t="s">
        <v>10</v>
      </c>
      <c r="E10" t="s">
        <v>129</v>
      </c>
      <c r="F10" t="s">
        <v>19</v>
      </c>
      <c r="G10" t="s">
        <v>123</v>
      </c>
      <c r="H10" t="s">
        <v>147</v>
      </c>
      <c r="I10" t="s">
        <v>51</v>
      </c>
      <c r="J10" t="s">
        <v>53</v>
      </c>
      <c r="K10" t="s">
        <v>50</v>
      </c>
      <c r="L10" t="s">
        <v>56</v>
      </c>
      <c r="M10" t="s">
        <v>57</v>
      </c>
      <c r="N10" t="s">
        <v>162</v>
      </c>
      <c r="Q10" t="s">
        <v>5</v>
      </c>
      <c r="R10" t="s">
        <v>2</v>
      </c>
      <c r="S10" t="s">
        <v>4</v>
      </c>
      <c r="T10" t="s">
        <v>148</v>
      </c>
      <c r="U10" t="s">
        <v>11</v>
      </c>
      <c r="V10" t="s">
        <v>15</v>
      </c>
      <c r="W10" s="8" t="s">
        <v>48</v>
      </c>
      <c r="X10" s="8" t="s">
        <v>0</v>
      </c>
    </row>
    <row r="11" spans="1:24">
      <c r="D11" t="s">
        <v>76</v>
      </c>
      <c r="E11" t="s">
        <v>40</v>
      </c>
      <c r="F11" t="s">
        <v>20</v>
      </c>
      <c r="Q11" t="s">
        <v>8</v>
      </c>
      <c r="S11" t="s">
        <v>9</v>
      </c>
      <c r="T11" t="s">
        <v>22</v>
      </c>
      <c r="V11" t="s">
        <v>16</v>
      </c>
      <c r="W11" t="s">
        <v>49</v>
      </c>
      <c r="X11" t="s">
        <v>128</v>
      </c>
    </row>
    <row r="12" spans="1:24">
      <c r="A12" s="36" t="s">
        <v>88</v>
      </c>
    </row>
    <row r="14" spans="1:24" s="16" customFormat="1">
      <c r="A14" s="16" t="s">
        <v>63</v>
      </c>
      <c r="B14" s="15" t="s">
        <v>191</v>
      </c>
      <c r="C14" s="47" t="s">
        <v>64</v>
      </c>
      <c r="D14" s="17">
        <v>12.3</v>
      </c>
      <c r="E14" s="15">
        <v>767</v>
      </c>
      <c r="F14" s="20">
        <v>59.01</v>
      </c>
      <c r="G14" s="15" t="s">
        <v>192</v>
      </c>
      <c r="H14" s="35">
        <v>150</v>
      </c>
      <c r="I14" s="15">
        <v>70</v>
      </c>
      <c r="J14" s="15" t="s">
        <v>65</v>
      </c>
      <c r="K14" s="15" t="s">
        <v>193</v>
      </c>
      <c r="L14" s="17">
        <v>63</v>
      </c>
      <c r="M14" s="17">
        <v>34.950000000000003</v>
      </c>
      <c r="N14" s="15" t="s">
        <v>194</v>
      </c>
      <c r="Q14" s="40">
        <v>1.089</v>
      </c>
      <c r="R14" s="41">
        <v>1603</v>
      </c>
      <c r="S14" s="42">
        <v>0.1042</v>
      </c>
      <c r="T14" s="21">
        <f t="shared" ref="T14:T20" si="0">E14 * $M$8 / F14</f>
        <v>39.123368920521941</v>
      </c>
      <c r="U14" s="18">
        <f t="shared" ref="U14:U20" si="1">$R14*10^(-0.4*$D14)</f>
        <v>1.9272298886917075E-2</v>
      </c>
      <c r="V14" s="19">
        <f t="shared" ref="V14:V20" si="2">(U14 * $J$8 * $I$8 * S14) /( Q14 * 10000)</f>
        <v>200.48542489026821</v>
      </c>
      <c r="W14" s="22">
        <f t="shared" ref="W14:W20" si="3">2.5 *LOG10(T14) + D14</f>
        <v>16.281090612259565</v>
      </c>
      <c r="X14" s="22">
        <f t="shared" ref="X14:X20" si="4">T14 / V14 * 100</f>
        <v>19.514320775156278</v>
      </c>
    </row>
    <row r="15" spans="1:24" s="16" customFormat="1">
      <c r="A15" s="16" t="s">
        <v>60</v>
      </c>
      <c r="B15" s="15" t="s">
        <v>191</v>
      </c>
      <c r="C15" s="46" t="s">
        <v>62</v>
      </c>
      <c r="D15" s="17">
        <v>12.3</v>
      </c>
      <c r="E15" s="15">
        <v>896</v>
      </c>
      <c r="F15" s="20">
        <v>59.01</v>
      </c>
      <c r="G15" s="15" t="s">
        <v>192</v>
      </c>
      <c r="H15" s="35">
        <v>154</v>
      </c>
      <c r="I15" s="15">
        <v>61</v>
      </c>
      <c r="J15" s="15" t="s">
        <v>61</v>
      </c>
      <c r="K15" s="15" t="s">
        <v>193</v>
      </c>
      <c r="L15" s="17">
        <v>63</v>
      </c>
      <c r="M15" s="17">
        <v>34.08</v>
      </c>
      <c r="N15" s="15" t="s">
        <v>195</v>
      </c>
      <c r="Q15" s="40">
        <v>1.25</v>
      </c>
      <c r="R15" s="41">
        <v>1603</v>
      </c>
      <c r="S15" s="42">
        <v>0.1225</v>
      </c>
      <c r="T15" s="21">
        <f t="shared" si="0"/>
        <v>45.703440094899172</v>
      </c>
      <c r="U15" s="18">
        <f t="shared" si="1"/>
        <v>1.9272298886917075E-2</v>
      </c>
      <c r="V15" s="19">
        <f t="shared" si="2"/>
        <v>205.33786482859119</v>
      </c>
      <c r="W15" s="22">
        <f t="shared" si="3"/>
        <v>16.449872226542425</v>
      </c>
      <c r="X15" s="22">
        <f t="shared" si="4"/>
        <v>22.257677673355953</v>
      </c>
    </row>
    <row r="16" spans="1:24" s="16" customFormat="1">
      <c r="A16" s="16" t="s">
        <v>59</v>
      </c>
      <c r="B16" s="15" t="s">
        <v>191</v>
      </c>
      <c r="C16" s="46" t="s">
        <v>52</v>
      </c>
      <c r="D16" s="17">
        <v>11.77</v>
      </c>
      <c r="E16" s="15">
        <v>547</v>
      </c>
      <c r="F16" s="20">
        <v>59.01</v>
      </c>
      <c r="G16" s="15" t="s">
        <v>192</v>
      </c>
      <c r="H16" s="35">
        <v>158</v>
      </c>
      <c r="I16" s="15">
        <v>46</v>
      </c>
      <c r="J16" s="15" t="s">
        <v>55</v>
      </c>
      <c r="K16" s="15" t="s">
        <v>193</v>
      </c>
      <c r="L16" s="17">
        <v>63</v>
      </c>
      <c r="M16" s="17">
        <v>36.72</v>
      </c>
      <c r="N16" s="15" t="s">
        <v>196</v>
      </c>
      <c r="Q16" s="40">
        <v>1.6559999999999999</v>
      </c>
      <c r="R16" s="41">
        <v>1075</v>
      </c>
      <c r="S16" s="42">
        <v>0.15920000000000001</v>
      </c>
      <c r="T16" s="21">
        <f t="shared" si="0"/>
        <v>27.901542111506522</v>
      </c>
      <c r="U16" s="18">
        <f t="shared" si="1"/>
        <v>2.1057580240189357E-2</v>
      </c>
      <c r="V16" s="19">
        <f t="shared" si="2"/>
        <v>220.09016648259134</v>
      </c>
      <c r="W16" s="22">
        <f t="shared" si="3"/>
        <v>15.384070518220687</v>
      </c>
      <c r="X16" s="22">
        <f t="shared" si="4"/>
        <v>12.677323370425764</v>
      </c>
    </row>
    <row r="17" spans="1:25" s="16" customFormat="1">
      <c r="A17" s="16" t="s">
        <v>58</v>
      </c>
      <c r="B17" s="15" t="s">
        <v>191</v>
      </c>
      <c r="C17" s="46" t="s">
        <v>3</v>
      </c>
      <c r="D17" s="17">
        <v>11.64</v>
      </c>
      <c r="E17" s="15">
        <v>934</v>
      </c>
      <c r="F17" s="20">
        <v>90</v>
      </c>
      <c r="G17" s="15" t="s">
        <v>192</v>
      </c>
      <c r="H17" s="35">
        <v>109</v>
      </c>
      <c r="I17" s="15">
        <v>35</v>
      </c>
      <c r="J17" s="15" t="s">
        <v>54</v>
      </c>
      <c r="K17" s="15" t="s">
        <v>197</v>
      </c>
      <c r="L17" s="17">
        <v>63</v>
      </c>
      <c r="M17" s="17">
        <v>35.76</v>
      </c>
      <c r="N17" s="15" t="s">
        <v>204</v>
      </c>
      <c r="Q17" s="40">
        <v>2.177</v>
      </c>
      <c r="R17" s="41">
        <v>667</v>
      </c>
      <c r="S17" s="42">
        <v>0.21</v>
      </c>
      <c r="T17" s="21">
        <f t="shared" si="0"/>
        <v>31.237111111111108</v>
      </c>
      <c r="U17" s="18">
        <f t="shared" si="1"/>
        <v>1.4727391569236026E-2</v>
      </c>
      <c r="V17" s="19">
        <f t="shared" si="2"/>
        <v>154.45292714540264</v>
      </c>
      <c r="W17" s="22">
        <f t="shared" si="3"/>
        <v>15.376677155961531</v>
      </c>
      <c r="X17" s="22">
        <f t="shared" si="4"/>
        <v>20.224356824072593</v>
      </c>
      <c r="Y17" s="55" t="s">
        <v>54</v>
      </c>
    </row>
    <row r="18" spans="1:25" s="16" customFormat="1">
      <c r="A18" s="16" t="s">
        <v>58</v>
      </c>
      <c r="B18" s="15" t="s">
        <v>191</v>
      </c>
      <c r="C18" s="46" t="s">
        <v>3</v>
      </c>
      <c r="D18" s="17">
        <v>11.64</v>
      </c>
      <c r="E18" s="15">
        <v>1342</v>
      </c>
      <c r="F18" s="20">
        <v>90</v>
      </c>
      <c r="G18" s="15" t="s">
        <v>192</v>
      </c>
      <c r="H18" s="35">
        <v>113</v>
      </c>
      <c r="I18" s="15">
        <v>35</v>
      </c>
      <c r="J18" s="15" t="s">
        <v>201</v>
      </c>
      <c r="K18" s="15" t="s">
        <v>197</v>
      </c>
      <c r="L18" s="17">
        <v>63</v>
      </c>
      <c r="M18" s="17">
        <v>35.76</v>
      </c>
      <c r="N18" s="15" t="s">
        <v>202</v>
      </c>
      <c r="Q18" s="40">
        <v>2.177</v>
      </c>
      <c r="R18" s="41">
        <v>667</v>
      </c>
      <c r="S18" s="42">
        <v>0.21</v>
      </c>
      <c r="T18" s="21">
        <f t="shared" si="0"/>
        <v>44.882444444444438</v>
      </c>
      <c r="U18" s="18">
        <f t="shared" si="1"/>
        <v>1.4727391569236026E-2</v>
      </c>
      <c r="V18" s="19">
        <f t="shared" si="2"/>
        <v>154.45292714540264</v>
      </c>
      <c r="W18" s="22">
        <f t="shared" si="3"/>
        <v>15.770191254968729</v>
      </c>
      <c r="X18" s="22">
        <f t="shared" si="4"/>
        <v>29.058979505252054</v>
      </c>
      <c r="Y18" s="55" t="s">
        <v>201</v>
      </c>
    </row>
    <row r="19" spans="1:25" s="16" customFormat="1">
      <c r="A19" s="16" t="s">
        <v>66</v>
      </c>
      <c r="B19" s="15" t="s">
        <v>198</v>
      </c>
      <c r="C19" s="46" t="s">
        <v>67</v>
      </c>
      <c r="D19" s="17">
        <v>7.55</v>
      </c>
      <c r="E19" s="15">
        <v>12084</v>
      </c>
      <c r="F19" s="20">
        <v>44.25</v>
      </c>
      <c r="G19" s="15" t="s">
        <v>192</v>
      </c>
      <c r="H19" s="28">
        <v>139</v>
      </c>
      <c r="I19" s="15">
        <v>22</v>
      </c>
      <c r="J19" s="15" t="s">
        <v>70</v>
      </c>
      <c r="K19" s="15" t="s">
        <v>197</v>
      </c>
      <c r="L19" s="17">
        <v>63</v>
      </c>
      <c r="M19" s="17">
        <v>32.64</v>
      </c>
      <c r="N19" s="15" t="s">
        <v>199</v>
      </c>
      <c r="Q19" s="40">
        <v>3.4630000000000001</v>
      </c>
      <c r="R19" s="41">
        <v>288</v>
      </c>
      <c r="S19" s="42">
        <v>0.33139999999999997</v>
      </c>
      <c r="T19" s="21">
        <f t="shared" si="0"/>
        <v>821.98508474576261</v>
      </c>
      <c r="U19" s="18">
        <f t="shared" si="1"/>
        <v>0.27503786477417341</v>
      </c>
      <c r="V19" s="19">
        <f t="shared" si="2"/>
        <v>2861.553988028712</v>
      </c>
      <c r="W19" s="22">
        <f t="shared" si="3"/>
        <v>14.837159842903105</v>
      </c>
      <c r="X19" s="22">
        <f t="shared" si="4"/>
        <v>28.725129359240835</v>
      </c>
    </row>
    <row r="20" spans="1:25" s="23" customFormat="1">
      <c r="A20" s="23" t="s">
        <v>83</v>
      </c>
      <c r="B20" s="15" t="s">
        <v>198</v>
      </c>
      <c r="C20" s="46" t="s">
        <v>81</v>
      </c>
      <c r="D20" s="17">
        <v>7.56</v>
      </c>
      <c r="E20" s="15">
        <v>1474</v>
      </c>
      <c r="F20" s="20">
        <v>14.8</v>
      </c>
      <c r="G20" s="15" t="s">
        <v>192</v>
      </c>
      <c r="H20" s="35">
        <v>143</v>
      </c>
      <c r="I20" s="15">
        <v>16</v>
      </c>
      <c r="J20" s="15" t="s">
        <v>82</v>
      </c>
      <c r="K20" s="15" t="s">
        <v>197</v>
      </c>
      <c r="L20" s="17">
        <v>63</v>
      </c>
      <c r="M20" s="17">
        <v>37</v>
      </c>
      <c r="N20" s="15" t="s">
        <v>200</v>
      </c>
      <c r="Q20" s="40">
        <v>4.7619999999999996</v>
      </c>
      <c r="R20" s="41">
        <v>163</v>
      </c>
      <c r="S20" s="42">
        <v>0.46400000000000002</v>
      </c>
      <c r="T20" s="21">
        <f t="shared" si="0"/>
        <v>299.7797297297297</v>
      </c>
      <c r="U20" s="18">
        <f t="shared" si="1"/>
        <v>0.15423665730262417</v>
      </c>
      <c r="V20" s="19">
        <f t="shared" si="2"/>
        <v>1633.9006201639575</v>
      </c>
      <c r="W20" s="22">
        <f t="shared" si="3"/>
        <v>13.752005659304796</v>
      </c>
      <c r="X20" s="22">
        <f t="shared" si="4"/>
        <v>18.347488582239944</v>
      </c>
    </row>
    <row r="21" spans="1:25" s="23" customFormat="1">
      <c r="F21" s="26"/>
      <c r="H21" s="43"/>
      <c r="L21" s="27"/>
      <c r="M21" s="27"/>
      <c r="Q21" s="18"/>
      <c r="S21" s="24"/>
      <c r="T21" s="27"/>
      <c r="U21" s="18"/>
      <c r="V21" s="25"/>
      <c r="W21" s="27"/>
      <c r="X21" s="27"/>
    </row>
    <row r="22" spans="1:25" s="16" customFormat="1">
      <c r="A22" s="16" t="s">
        <v>96</v>
      </c>
      <c r="B22" s="15" t="s">
        <v>206</v>
      </c>
      <c r="C22" s="46" t="s">
        <v>64</v>
      </c>
      <c r="D22" s="17">
        <v>10.72</v>
      </c>
      <c r="E22" s="15">
        <v>1288</v>
      </c>
      <c r="F22" s="20">
        <v>239</v>
      </c>
      <c r="G22" s="15" t="s">
        <v>207</v>
      </c>
      <c r="H22" s="35">
        <v>12</v>
      </c>
      <c r="I22" s="15">
        <v>70</v>
      </c>
      <c r="J22" s="15" t="s">
        <v>65</v>
      </c>
      <c r="K22" s="15" t="s">
        <v>75</v>
      </c>
      <c r="L22" s="17">
        <v>63</v>
      </c>
      <c r="M22" s="17">
        <v>34.950000000000003</v>
      </c>
      <c r="N22" s="15" t="s">
        <v>155</v>
      </c>
      <c r="Q22" s="40">
        <v>1.089</v>
      </c>
      <c r="R22" s="41">
        <v>1603</v>
      </c>
      <c r="S22" s="42">
        <v>0.1042</v>
      </c>
      <c r="T22" s="21">
        <f t="shared" ref="T22:T28" si="5">E22 * $M$8 / F22</f>
        <v>16.221255230125522</v>
      </c>
      <c r="U22" s="18">
        <f t="shared" ref="U22:U28" si="6">$R22*10^(-0.4*$D22)</f>
        <v>8.2591151726455397E-2</v>
      </c>
      <c r="V22" s="19">
        <f t="shared" ref="V22:V28" si="7">(U22 * $J$8 * $I$8 * S22) /( Q22 * 10000)</f>
        <v>859.17732197976488</v>
      </c>
      <c r="W22" s="22">
        <f t="shared" ref="W22:W28" si="8">2.5 *LOG10(T22) + D22</f>
        <v>13.745211144173748</v>
      </c>
      <c r="X22" s="22">
        <f t="shared" ref="X22:X28" si="9">T22 / V22 * 100</f>
        <v>1.8879985324505064</v>
      </c>
    </row>
    <row r="23" spans="1:25" s="16" customFormat="1">
      <c r="A23" s="16" t="s">
        <v>78</v>
      </c>
      <c r="B23" s="15" t="s">
        <v>206</v>
      </c>
      <c r="C23" s="46" t="s">
        <v>62</v>
      </c>
      <c r="D23" s="17">
        <v>10.72</v>
      </c>
      <c r="E23" s="15">
        <v>1527</v>
      </c>
      <c r="F23" s="20">
        <v>239</v>
      </c>
      <c r="G23" s="15" t="s">
        <v>207</v>
      </c>
      <c r="H23" s="35">
        <v>9</v>
      </c>
      <c r="I23" s="15">
        <v>61</v>
      </c>
      <c r="J23" s="15" t="s">
        <v>61</v>
      </c>
      <c r="K23" s="15" t="s">
        <v>75</v>
      </c>
      <c r="L23" s="17">
        <v>63</v>
      </c>
      <c r="M23" s="17">
        <v>34.08</v>
      </c>
      <c r="N23" s="15" t="s">
        <v>211</v>
      </c>
      <c r="Q23" s="40">
        <v>1.25</v>
      </c>
      <c r="R23" s="41">
        <v>1603</v>
      </c>
      <c r="S23" s="42">
        <v>0.1225</v>
      </c>
      <c r="T23" s="21">
        <f t="shared" si="5"/>
        <v>19.23125523012552</v>
      </c>
      <c r="U23" s="18">
        <f t="shared" si="6"/>
        <v>8.2591151726455397E-2</v>
      </c>
      <c r="V23" s="19">
        <f t="shared" si="7"/>
        <v>879.97238153862259</v>
      </c>
      <c r="W23" s="22">
        <f t="shared" si="8"/>
        <v>13.930019079255317</v>
      </c>
      <c r="X23" s="22">
        <f t="shared" si="9"/>
        <v>2.185438501660685</v>
      </c>
    </row>
    <row r="24" spans="1:25" s="16" customFormat="1">
      <c r="A24" s="16" t="s">
        <v>77</v>
      </c>
      <c r="B24" s="15" t="s">
        <v>206</v>
      </c>
      <c r="C24" s="46" t="s">
        <v>52</v>
      </c>
      <c r="D24" s="17">
        <v>10.51</v>
      </c>
      <c r="E24" s="15">
        <v>1540</v>
      </c>
      <c r="F24" s="20">
        <v>239</v>
      </c>
      <c r="G24" s="15" t="s">
        <v>207</v>
      </c>
      <c r="H24" s="35">
        <v>7</v>
      </c>
      <c r="I24" s="15">
        <v>46</v>
      </c>
      <c r="J24" s="15" t="s">
        <v>55</v>
      </c>
      <c r="K24" s="15" t="s">
        <v>75</v>
      </c>
      <c r="L24" s="17">
        <v>63</v>
      </c>
      <c r="M24" s="17">
        <v>36.72</v>
      </c>
      <c r="N24" s="15" t="s">
        <v>208</v>
      </c>
      <c r="Q24" s="40">
        <v>1.6559999999999999</v>
      </c>
      <c r="R24" s="41">
        <v>1075</v>
      </c>
      <c r="S24" s="42">
        <v>0.15920000000000001</v>
      </c>
      <c r="T24" s="21">
        <f t="shared" si="5"/>
        <v>19.394979079497908</v>
      </c>
      <c r="U24" s="18">
        <f t="shared" si="6"/>
        <v>6.7206064473386229E-2</v>
      </c>
      <c r="V24" s="19">
        <f t="shared" si="7"/>
        <v>702.42609786462015</v>
      </c>
      <c r="W24" s="22">
        <f t="shared" si="8"/>
        <v>13.729223288705422</v>
      </c>
      <c r="X24" s="22">
        <f t="shared" si="9"/>
        <v>2.7611415832154824</v>
      </c>
    </row>
    <row r="25" spans="1:25" s="16" customFormat="1">
      <c r="A25" s="16" t="s">
        <v>120</v>
      </c>
      <c r="B25" s="15" t="s">
        <v>206</v>
      </c>
      <c r="C25" s="46" t="s">
        <v>3</v>
      </c>
      <c r="D25" s="17">
        <v>10.47</v>
      </c>
      <c r="E25" s="15">
        <v>2064</v>
      </c>
      <c r="F25" s="20">
        <v>239</v>
      </c>
      <c r="G25" s="15" t="s">
        <v>207</v>
      </c>
      <c r="H25" s="35">
        <v>5</v>
      </c>
      <c r="I25" s="15">
        <v>35</v>
      </c>
      <c r="J25" s="15" t="s">
        <v>54</v>
      </c>
      <c r="K25" s="15" t="s">
        <v>75</v>
      </c>
      <c r="L25" s="17">
        <v>63</v>
      </c>
      <c r="M25" s="17">
        <v>35.76</v>
      </c>
      <c r="N25" s="15" t="s">
        <v>209</v>
      </c>
      <c r="Q25" s="40">
        <v>2.177</v>
      </c>
      <c r="R25" s="41">
        <v>667</v>
      </c>
      <c r="S25" s="42">
        <v>0.20860000000000001</v>
      </c>
      <c r="T25" s="21">
        <f t="shared" ref="T25" si="10">E25 * $M$8 / F25</f>
        <v>25.994309623430961</v>
      </c>
      <c r="U25" s="18">
        <f t="shared" si="6"/>
        <v>4.3263916717667369E-2</v>
      </c>
      <c r="V25" s="19">
        <f t="shared" ref="V25" si="11">(U25 * $J$8 * $I$8 * S25) /( Q25 * 10000)</f>
        <v>450.70373042197724</v>
      </c>
      <c r="W25" s="22">
        <f t="shared" ref="W25" si="12">2.5 *LOG10(T25) + D25</f>
        <v>14.007195719002199</v>
      </c>
      <c r="X25" s="22">
        <f t="shared" ref="X25" si="13">T25 / V25 * 100</f>
        <v>5.7674937811349931</v>
      </c>
      <c r="Y25" s="55" t="s">
        <v>54</v>
      </c>
    </row>
    <row r="26" spans="1:25" s="16" customFormat="1">
      <c r="A26" s="16" t="s">
        <v>120</v>
      </c>
      <c r="B26" s="15" t="s">
        <v>206</v>
      </c>
      <c r="C26" s="46" t="s">
        <v>3</v>
      </c>
      <c r="D26" s="17">
        <v>10.47</v>
      </c>
      <c r="E26" s="15">
        <v>2239</v>
      </c>
      <c r="F26" s="20">
        <v>239</v>
      </c>
      <c r="G26" s="15" t="s">
        <v>207</v>
      </c>
      <c r="H26" s="35">
        <v>3</v>
      </c>
      <c r="I26" s="15">
        <v>35</v>
      </c>
      <c r="J26" s="15" t="s">
        <v>201</v>
      </c>
      <c r="K26" s="15" t="s">
        <v>75</v>
      </c>
      <c r="L26" s="17">
        <v>63</v>
      </c>
      <c r="M26" s="17">
        <v>35.69</v>
      </c>
      <c r="N26" s="15" t="s">
        <v>210</v>
      </c>
      <c r="Q26" s="40">
        <v>2.177</v>
      </c>
      <c r="R26" s="41">
        <v>667</v>
      </c>
      <c r="S26" s="42">
        <v>0.20860000000000001</v>
      </c>
      <c r="T26" s="21">
        <f t="shared" si="5"/>
        <v>28.198284518828448</v>
      </c>
      <c r="U26" s="18">
        <f t="shared" si="6"/>
        <v>4.3263916717667369E-2</v>
      </c>
      <c r="V26" s="19">
        <f t="shared" si="7"/>
        <v>450.70373042197724</v>
      </c>
      <c r="W26" s="22">
        <f t="shared" si="8"/>
        <v>14.09555672056184</v>
      </c>
      <c r="X26" s="22">
        <f t="shared" si="9"/>
        <v>6.2565012480432403</v>
      </c>
      <c r="Y26" s="55" t="s">
        <v>201</v>
      </c>
    </row>
    <row r="27" spans="1:25" s="16" customFormat="1">
      <c r="A27" s="16" t="s">
        <v>79</v>
      </c>
      <c r="B27" s="28" t="s">
        <v>126</v>
      </c>
      <c r="C27" s="46" t="s">
        <v>67</v>
      </c>
      <c r="D27" s="17">
        <v>6.87</v>
      </c>
      <c r="E27" s="15">
        <v>4460</v>
      </c>
      <c r="F27" s="20">
        <v>59.01</v>
      </c>
      <c r="G27" s="15" t="s">
        <v>122</v>
      </c>
      <c r="H27" s="35">
        <v>34</v>
      </c>
      <c r="I27" s="15">
        <v>22</v>
      </c>
      <c r="J27" s="15" t="s">
        <v>70</v>
      </c>
      <c r="K27" s="15" t="s">
        <v>75</v>
      </c>
      <c r="L27" s="17">
        <v>63</v>
      </c>
      <c r="M27" s="17">
        <v>32.64</v>
      </c>
      <c r="N27" s="15" t="s">
        <v>156</v>
      </c>
      <c r="Q27" s="40">
        <v>3.4630000000000001</v>
      </c>
      <c r="R27" s="41">
        <v>288</v>
      </c>
      <c r="S27" s="42">
        <v>0.33139999999999997</v>
      </c>
      <c r="T27" s="21">
        <f t="shared" si="5"/>
        <v>227.49703440094896</v>
      </c>
      <c r="U27" s="18">
        <f t="shared" si="6"/>
        <v>0.51450842155739018</v>
      </c>
      <c r="V27" s="19">
        <f t="shared" si="7"/>
        <v>5353.0579390978419</v>
      </c>
      <c r="W27" s="22">
        <f t="shared" si="8"/>
        <v>12.762439349167465</v>
      </c>
      <c r="X27" s="22">
        <f t="shared" si="9"/>
        <v>4.2498518975359598</v>
      </c>
    </row>
    <row r="28" spans="1:25" s="16" customFormat="1">
      <c r="A28" s="16" t="s">
        <v>80</v>
      </c>
      <c r="B28" s="28" t="s">
        <v>126</v>
      </c>
      <c r="C28" s="46" t="s">
        <v>81</v>
      </c>
      <c r="D28" s="17">
        <v>6.84</v>
      </c>
      <c r="E28" s="15">
        <v>1426</v>
      </c>
      <c r="F28" s="20">
        <v>38.36</v>
      </c>
      <c r="G28" s="15" t="s">
        <v>122</v>
      </c>
      <c r="H28" s="35">
        <v>45</v>
      </c>
      <c r="I28" s="15">
        <v>16</v>
      </c>
      <c r="J28" s="15" t="s">
        <v>82</v>
      </c>
      <c r="K28" s="15" t="s">
        <v>75</v>
      </c>
      <c r="L28" s="17">
        <v>63</v>
      </c>
      <c r="M28" s="17">
        <v>37</v>
      </c>
      <c r="N28" s="15" t="s">
        <v>157</v>
      </c>
      <c r="Q28" s="40">
        <v>4.7619999999999996</v>
      </c>
      <c r="R28" s="41">
        <v>163</v>
      </c>
      <c r="S28" s="42">
        <v>0.46400000000000002</v>
      </c>
      <c r="T28" s="21">
        <f t="shared" si="5"/>
        <v>111.89416058394158</v>
      </c>
      <c r="U28" s="18">
        <f t="shared" si="6"/>
        <v>0.29935574996578007</v>
      </c>
      <c r="V28" s="19">
        <f t="shared" si="7"/>
        <v>3171.2146390663042</v>
      </c>
      <c r="W28" s="22">
        <f t="shared" si="8"/>
        <v>11.96201855652766</v>
      </c>
      <c r="X28" s="22">
        <f t="shared" si="9"/>
        <v>3.528432267104014</v>
      </c>
    </row>
    <row r="29" spans="1:25" s="23" customFormat="1">
      <c r="F29" s="26"/>
      <c r="H29" s="43"/>
      <c r="L29" s="27"/>
      <c r="M29" s="27"/>
      <c r="Q29" s="18"/>
      <c r="S29" s="24"/>
      <c r="T29" s="27"/>
      <c r="U29" s="18"/>
      <c r="V29" s="25"/>
      <c r="W29" s="27"/>
      <c r="X29" s="27"/>
    </row>
    <row r="30" spans="1:25" s="23" customFormat="1">
      <c r="A30" s="37" t="s">
        <v>89</v>
      </c>
      <c r="F30" s="26"/>
      <c r="H30" s="43"/>
      <c r="L30" s="27"/>
      <c r="M30" s="27"/>
      <c r="Q30" s="18"/>
      <c r="S30" s="24"/>
      <c r="T30" s="27"/>
      <c r="U30" s="18"/>
      <c r="V30" s="25"/>
      <c r="W30" s="27"/>
      <c r="X30" s="27"/>
    </row>
    <row r="31" spans="1:25" s="23" customFormat="1">
      <c r="F31" s="26"/>
      <c r="H31" s="43"/>
      <c r="L31" s="27"/>
      <c r="M31" s="27"/>
      <c r="Q31" s="18"/>
      <c r="S31" s="24"/>
      <c r="T31" s="27"/>
      <c r="U31" s="18"/>
      <c r="V31" s="25"/>
      <c r="W31" s="27"/>
      <c r="X31" s="27"/>
    </row>
    <row r="32" spans="1:25" s="16" customFormat="1">
      <c r="A32" s="16" t="s">
        <v>63</v>
      </c>
      <c r="B32" s="15" t="s">
        <v>90</v>
      </c>
      <c r="C32" s="46" t="s">
        <v>64</v>
      </c>
      <c r="D32" s="17">
        <v>8.7200000000000006</v>
      </c>
      <c r="E32" s="15">
        <v>7900</v>
      </c>
      <c r="F32" s="20">
        <v>4.43</v>
      </c>
      <c r="G32" s="15" t="s">
        <v>91</v>
      </c>
      <c r="H32" s="17" t="s">
        <v>95</v>
      </c>
      <c r="I32" s="15" t="s">
        <v>92</v>
      </c>
      <c r="J32" s="15" t="s">
        <v>65</v>
      </c>
      <c r="K32" s="15" t="s">
        <v>94</v>
      </c>
      <c r="L32" s="17">
        <v>179.7</v>
      </c>
      <c r="M32" s="17">
        <v>34.950000000000003</v>
      </c>
      <c r="N32" s="15" t="s">
        <v>158</v>
      </c>
      <c r="Q32" s="40">
        <v>1.089</v>
      </c>
      <c r="R32" s="41">
        <v>1603</v>
      </c>
      <c r="S32" s="42">
        <v>1.4135</v>
      </c>
      <c r="T32" s="21">
        <f>E32 * $M$8 / F32</f>
        <v>5367.7200902934537</v>
      </c>
      <c r="U32" s="18">
        <f>$R32*10^(-0.4*$D32)</f>
        <v>0.52111493770884987</v>
      </c>
      <c r="V32" s="19">
        <f>(U32 * $J$8 * $I$8 * S32) /( Q32 * 10000)</f>
        <v>73537.845046063041</v>
      </c>
      <c r="W32" s="22">
        <f>2.5 *LOG10(T32) + D32</f>
        <v>18.04447465165304</v>
      </c>
      <c r="X32" s="22">
        <f>T32 / V32 * 100</f>
        <v>7.299262151251769</v>
      </c>
      <c r="Y32" s="16" t="s">
        <v>154</v>
      </c>
    </row>
    <row r="33" spans="1:25" s="16" customFormat="1">
      <c r="A33" s="16" t="s">
        <v>60</v>
      </c>
      <c r="B33" s="15" t="s">
        <v>150</v>
      </c>
      <c r="C33" s="46" t="s">
        <v>62</v>
      </c>
      <c r="D33" s="17">
        <v>13.72</v>
      </c>
      <c r="E33" s="15">
        <v>6791</v>
      </c>
      <c r="F33" s="20">
        <v>119.5</v>
      </c>
      <c r="G33" s="15" t="s">
        <v>151</v>
      </c>
      <c r="H33" s="17" t="s">
        <v>93</v>
      </c>
      <c r="I33" s="15" t="s">
        <v>92</v>
      </c>
      <c r="J33" s="15" t="s">
        <v>61</v>
      </c>
      <c r="K33" s="15" t="s">
        <v>152</v>
      </c>
      <c r="L33" s="17">
        <v>179.7</v>
      </c>
      <c r="M33" s="17">
        <v>34.08</v>
      </c>
      <c r="N33" s="15" t="s">
        <v>159</v>
      </c>
      <c r="Q33" s="40">
        <v>1.25</v>
      </c>
      <c r="R33" s="41">
        <v>1603</v>
      </c>
      <c r="S33" s="42">
        <v>1.871</v>
      </c>
      <c r="T33" s="21">
        <f>E33 * $M$8 / F33</f>
        <v>171.05364016736402</v>
      </c>
      <c r="U33" s="18">
        <f>$R33*10^(-0.4*$D33)</f>
        <v>5.2111493770884967E-3</v>
      </c>
      <c r="V33" s="19">
        <f>(U33 * $J$8 * $I$8 * S33) /( Q33 * 10000)</f>
        <v>848.02126070270538</v>
      </c>
      <c r="W33" s="22">
        <f>2.5 *LOG10(T33) + D33</f>
        <v>19.302830801941081</v>
      </c>
      <c r="X33" s="22">
        <f>T33 / V33 * 100</f>
        <v>20.170914114302029</v>
      </c>
    </row>
    <row r="34" spans="1:25" s="16" customFormat="1">
      <c r="A34" s="16" t="s">
        <v>59</v>
      </c>
      <c r="B34" s="15" t="s">
        <v>150</v>
      </c>
      <c r="C34" s="46" t="s">
        <v>52</v>
      </c>
      <c r="D34" s="17">
        <v>13.9</v>
      </c>
      <c r="E34" s="15">
        <v>1914</v>
      </c>
      <c r="F34" s="20">
        <v>119.5</v>
      </c>
      <c r="G34" s="15" t="s">
        <v>151</v>
      </c>
      <c r="H34" s="17" t="s">
        <v>153</v>
      </c>
      <c r="I34" s="15" t="s">
        <v>92</v>
      </c>
      <c r="J34" s="15" t="s">
        <v>55</v>
      </c>
      <c r="K34" s="15" t="s">
        <v>152</v>
      </c>
      <c r="L34" s="17">
        <v>179.7</v>
      </c>
      <c r="M34" s="17">
        <v>36.72</v>
      </c>
      <c r="N34" s="28" t="s">
        <v>160</v>
      </c>
      <c r="Q34" s="40">
        <v>1.6559999999999999</v>
      </c>
      <c r="R34" s="41">
        <v>1075</v>
      </c>
      <c r="S34" s="42">
        <v>1.8789</v>
      </c>
      <c r="T34" s="21">
        <f>E34 * $M$8 / F34</f>
        <v>48.210376569037649</v>
      </c>
      <c r="U34" s="18">
        <f>$R34*10^(-0.4*$D34)</f>
        <v>2.9607958560885234E-3</v>
      </c>
      <c r="V34" s="19">
        <f>(U34 * $J$8 * $I$8 * S34) /( Q34 * 10000)</f>
        <v>365.22562584117992</v>
      </c>
      <c r="W34" s="22">
        <f>2.5 *LOG10(T34) + D34</f>
        <v>18.107851309376279</v>
      </c>
      <c r="X34" s="22">
        <f>T34 / V34 * 100</f>
        <v>13.200162627690906</v>
      </c>
    </row>
    <row r="35" spans="1:25" s="16" customFormat="1">
      <c r="A35" s="16" t="s">
        <v>58</v>
      </c>
      <c r="B35" s="15" t="s">
        <v>191</v>
      </c>
      <c r="C35" s="46" t="s">
        <v>3</v>
      </c>
      <c r="D35" s="17">
        <v>11.64</v>
      </c>
      <c r="E35" s="15">
        <v>4239</v>
      </c>
      <c r="F35" s="20">
        <v>19.18</v>
      </c>
      <c r="G35" s="15" t="s">
        <v>192</v>
      </c>
      <c r="H35" s="35">
        <v>124</v>
      </c>
      <c r="I35" s="15" t="s">
        <v>92</v>
      </c>
      <c r="J35" s="15" t="s">
        <v>54</v>
      </c>
      <c r="K35" s="15" t="s">
        <v>203</v>
      </c>
      <c r="L35" s="17">
        <v>179.7</v>
      </c>
      <c r="M35" s="17">
        <v>35.76</v>
      </c>
      <c r="N35" s="28" t="s">
        <v>160</v>
      </c>
      <c r="Q35" s="40">
        <v>2.177</v>
      </c>
      <c r="R35" s="41">
        <v>667</v>
      </c>
      <c r="S35" s="42">
        <v>2.8247</v>
      </c>
      <c r="T35" s="21">
        <f>E35 * $M$8 / F35</f>
        <v>665.24452554744528</v>
      </c>
      <c r="U35" s="18">
        <f>$R35*10^(-0.4*$D35)</f>
        <v>1.4727391569236026E-2</v>
      </c>
      <c r="V35" s="19">
        <f>(U35 * $J$8 * $I$8 * S35) /( Q35 * 10000)</f>
        <v>2077.5389681315182</v>
      </c>
      <c r="W35" s="22">
        <f>2.5 *LOG10(T35) + D35</f>
        <v>18.697453273318551</v>
      </c>
      <c r="X35" s="22">
        <f>T35 / V35 * 100</f>
        <v>32.020796517032267</v>
      </c>
      <c r="Y35" s="55" t="s">
        <v>54</v>
      </c>
    </row>
    <row r="36" spans="1:25" s="16" customFormat="1">
      <c r="A36" s="16" t="s">
        <v>58</v>
      </c>
      <c r="B36" s="15" t="s">
        <v>191</v>
      </c>
      <c r="C36" s="46" t="s">
        <v>3</v>
      </c>
      <c r="D36" s="17">
        <v>11.64</v>
      </c>
      <c r="E36" s="15">
        <v>5636</v>
      </c>
      <c r="F36" s="20">
        <v>19.18</v>
      </c>
      <c r="G36" s="15" t="s">
        <v>192</v>
      </c>
      <c r="H36" s="35">
        <v>132</v>
      </c>
      <c r="I36" s="15" t="s">
        <v>92</v>
      </c>
      <c r="J36" s="15" t="s">
        <v>201</v>
      </c>
      <c r="K36" s="15" t="s">
        <v>203</v>
      </c>
      <c r="L36" s="17">
        <v>179.7</v>
      </c>
      <c r="M36" s="17">
        <v>35.69</v>
      </c>
      <c r="N36" s="28" t="s">
        <v>161</v>
      </c>
      <c r="Q36" s="40">
        <v>2.177</v>
      </c>
      <c r="R36" s="41">
        <v>667</v>
      </c>
      <c r="S36" s="42">
        <v>2.8247</v>
      </c>
      <c r="T36" s="21">
        <f>E36 * $M$8 / F36</f>
        <v>884.48175182481759</v>
      </c>
      <c r="U36" s="18">
        <f>$R36*10^(-0.4*$D36)</f>
        <v>1.4727391569236026E-2</v>
      </c>
      <c r="V36" s="19">
        <f>(U36 * $J$8 * $I$8 * S36) /( Q36 * 10000)</f>
        <v>2077.5389681315182</v>
      </c>
      <c r="W36" s="22">
        <f>2.5 *LOG10(T36) + D36</f>
        <v>19.006722192991294</v>
      </c>
      <c r="X36" s="22">
        <f>T36 / V36 * 100</f>
        <v>42.57353365652132</v>
      </c>
      <c r="Y36" s="55" t="s">
        <v>201</v>
      </c>
    </row>
    <row r="37" spans="1:25" s="3" customFormat="1">
      <c r="D37" s="7"/>
      <c r="F37" s="6"/>
      <c r="H37" s="44"/>
      <c r="L37" s="7"/>
      <c r="M37" s="7"/>
      <c r="Q37" s="2"/>
      <c r="S37" s="4"/>
      <c r="T37" s="7"/>
      <c r="U37" s="2"/>
      <c r="V37" s="5"/>
      <c r="W37" s="7"/>
      <c r="X37" s="7"/>
    </row>
    <row r="38" spans="1:25" s="13" customFormat="1">
      <c r="A38" s="16" t="s">
        <v>96</v>
      </c>
      <c r="B38" s="15" t="s">
        <v>206</v>
      </c>
      <c r="C38" s="46" t="s">
        <v>64</v>
      </c>
      <c r="D38" s="17">
        <v>10.72</v>
      </c>
      <c r="E38" s="15">
        <v>9655</v>
      </c>
      <c r="F38" s="20">
        <v>89.99</v>
      </c>
      <c r="G38" s="15" t="s">
        <v>207</v>
      </c>
      <c r="H38" s="54" t="s">
        <v>212</v>
      </c>
      <c r="I38" s="15" t="s">
        <v>92</v>
      </c>
      <c r="J38" s="15" t="s">
        <v>65</v>
      </c>
      <c r="K38" s="15" t="s">
        <v>124</v>
      </c>
      <c r="L38" s="17">
        <v>179.7</v>
      </c>
      <c r="M38" s="17">
        <v>34.950000000000003</v>
      </c>
      <c r="N38" s="15" t="s">
        <v>213</v>
      </c>
      <c r="O38" s="16"/>
      <c r="P38" s="16"/>
      <c r="Q38" s="40">
        <v>1.089</v>
      </c>
      <c r="R38" s="41">
        <v>1603</v>
      </c>
      <c r="S38" s="42">
        <v>1.4135</v>
      </c>
      <c r="T38" s="21">
        <f t="shared" ref="T38:T44" si="14">E38 * $M$8 / F38</f>
        <v>322.94199355483943</v>
      </c>
      <c r="U38" s="18">
        <f t="shared" ref="U38:U44" si="15">$R38*10^(-0.4*$D38)</f>
        <v>8.2591151726455397E-2</v>
      </c>
      <c r="V38" s="19">
        <f t="shared" ref="V38:V44" si="16">(U38 * $J$8 * $I$8 * S38) /( Q38 * 10000)</f>
        <v>11654.963000176562</v>
      </c>
      <c r="W38" s="22">
        <f t="shared" ref="W38:W44" si="17">2.5 *LOG10(T38) + D38</f>
        <v>16.992811304733486</v>
      </c>
      <c r="X38" s="22">
        <f t="shared" ref="X38:X44" si="18">T38 / V38 * 100</f>
        <v>2.7708538718651203</v>
      </c>
    </row>
    <row r="39" spans="1:25" s="13" customFormat="1">
      <c r="A39" s="16" t="s">
        <v>78</v>
      </c>
      <c r="B39" s="15" t="s">
        <v>206</v>
      </c>
      <c r="C39" s="46" t="s">
        <v>62</v>
      </c>
      <c r="D39" s="17">
        <v>10.72</v>
      </c>
      <c r="E39" s="15">
        <v>15024</v>
      </c>
      <c r="F39" s="20">
        <v>89.99</v>
      </c>
      <c r="G39" s="15" t="s">
        <v>207</v>
      </c>
      <c r="H39" s="54" t="s">
        <v>182</v>
      </c>
      <c r="I39" s="15" t="s">
        <v>92</v>
      </c>
      <c r="J39" s="15" t="s">
        <v>61</v>
      </c>
      <c r="K39" s="15" t="s">
        <v>124</v>
      </c>
      <c r="L39" s="17">
        <v>179.7</v>
      </c>
      <c r="M39" s="17">
        <v>34.08</v>
      </c>
      <c r="N39" s="15" t="s">
        <v>214</v>
      </c>
      <c r="O39" s="16"/>
      <c r="P39" s="16"/>
      <c r="Q39" s="40">
        <v>1.25</v>
      </c>
      <c r="R39" s="41">
        <v>1603</v>
      </c>
      <c r="S39" s="42">
        <v>1.871</v>
      </c>
      <c r="T39" s="21">
        <f t="shared" si="14"/>
        <v>502.5251694632737</v>
      </c>
      <c r="U39" s="18">
        <f t="shared" si="15"/>
        <v>8.2591151726455397E-2</v>
      </c>
      <c r="V39" s="19">
        <f t="shared" si="16"/>
        <v>13440.231231500104</v>
      </c>
      <c r="W39" s="22">
        <f t="shared" si="17"/>
        <v>17.472894546750041</v>
      </c>
      <c r="X39" s="22">
        <f t="shared" si="18"/>
        <v>3.7389622306906207</v>
      </c>
    </row>
    <row r="40" spans="1:25" s="13" customFormat="1">
      <c r="A40" s="16" t="s">
        <v>77</v>
      </c>
      <c r="B40" s="15" t="s">
        <v>206</v>
      </c>
      <c r="C40" s="46" t="s">
        <v>52</v>
      </c>
      <c r="D40" s="17">
        <v>10.51</v>
      </c>
      <c r="E40" s="15">
        <v>7602</v>
      </c>
      <c r="F40" s="20">
        <v>89.99</v>
      </c>
      <c r="G40" s="15" t="s">
        <v>207</v>
      </c>
      <c r="H40" s="54" t="s">
        <v>216</v>
      </c>
      <c r="I40" s="15" t="s">
        <v>92</v>
      </c>
      <c r="J40" s="15" t="s">
        <v>55</v>
      </c>
      <c r="K40" s="15" t="s">
        <v>124</v>
      </c>
      <c r="L40" s="17">
        <v>179.7</v>
      </c>
      <c r="M40" s="17">
        <v>36.72</v>
      </c>
      <c r="N40" s="28" t="s">
        <v>215</v>
      </c>
      <c r="O40" s="16"/>
      <c r="P40" s="16"/>
      <c r="Q40" s="40">
        <v>1.6559999999999999</v>
      </c>
      <c r="R40" s="41">
        <v>1075</v>
      </c>
      <c r="S40" s="42">
        <v>1.8789</v>
      </c>
      <c r="T40" s="21">
        <f t="shared" si="14"/>
        <v>254.2729192132459</v>
      </c>
      <c r="U40" s="18">
        <f t="shared" si="15"/>
        <v>6.7206064473386229E-2</v>
      </c>
      <c r="V40" s="19">
        <f t="shared" si="16"/>
        <v>8290.1281110416749</v>
      </c>
      <c r="W40" s="22">
        <f t="shared" si="17"/>
        <v>16.523250272612664</v>
      </c>
      <c r="X40" s="22">
        <f t="shared" si="18"/>
        <v>3.0671771992833037</v>
      </c>
    </row>
    <row r="41" spans="1:25" s="13" customFormat="1">
      <c r="A41" s="16" t="s">
        <v>120</v>
      </c>
      <c r="B41" s="15" t="s">
        <v>206</v>
      </c>
      <c r="C41" s="46" t="s">
        <v>3</v>
      </c>
      <c r="D41" s="17">
        <v>10.47</v>
      </c>
      <c r="E41" s="15">
        <v>7542</v>
      </c>
      <c r="F41" s="20">
        <v>59.01</v>
      </c>
      <c r="G41" s="15" t="s">
        <v>207</v>
      </c>
      <c r="H41" s="54" t="s">
        <v>218</v>
      </c>
      <c r="I41" s="15" t="s">
        <v>92</v>
      </c>
      <c r="J41" s="15" t="s">
        <v>54</v>
      </c>
      <c r="K41" s="15" t="s">
        <v>124</v>
      </c>
      <c r="L41" s="17">
        <v>179.7</v>
      </c>
      <c r="M41" s="17">
        <v>35.76</v>
      </c>
      <c r="N41" s="15" t="s">
        <v>217</v>
      </c>
      <c r="O41" s="16"/>
      <c r="P41" s="16"/>
      <c r="Q41" s="40">
        <v>2.177</v>
      </c>
      <c r="R41" s="41">
        <v>667</v>
      </c>
      <c r="S41" s="42">
        <v>2.8247</v>
      </c>
      <c r="T41" s="21">
        <f t="shared" si="14"/>
        <v>384.70462633451956</v>
      </c>
      <c r="U41" s="18">
        <f t="shared" si="15"/>
        <v>4.3263916717667369E-2</v>
      </c>
      <c r="V41" s="19">
        <f t="shared" si="16"/>
        <v>6103.0816266680686</v>
      </c>
      <c r="W41" s="22">
        <f t="shared" si="17"/>
        <v>16.932818522561114</v>
      </c>
      <c r="X41" s="22">
        <f t="shared" si="18"/>
        <v>6.303448812703266</v>
      </c>
      <c r="Y41" s="55" t="s">
        <v>54</v>
      </c>
    </row>
    <row r="42" spans="1:25" s="13" customFormat="1">
      <c r="A42" s="16" t="s">
        <v>120</v>
      </c>
      <c r="B42" s="15" t="s">
        <v>206</v>
      </c>
      <c r="C42" s="46" t="s">
        <v>3</v>
      </c>
      <c r="D42" s="17">
        <v>10.47</v>
      </c>
      <c r="E42" s="15">
        <v>7785</v>
      </c>
      <c r="F42" s="20">
        <v>59.01</v>
      </c>
      <c r="G42" s="15" t="s">
        <v>207</v>
      </c>
      <c r="H42" s="54" t="s">
        <v>219</v>
      </c>
      <c r="I42" s="15" t="s">
        <v>92</v>
      </c>
      <c r="J42" s="15" t="s">
        <v>201</v>
      </c>
      <c r="K42" s="15" t="s">
        <v>124</v>
      </c>
      <c r="L42" s="17">
        <v>179.7</v>
      </c>
      <c r="M42" s="17">
        <v>35.69</v>
      </c>
      <c r="N42" s="15" t="s">
        <v>220</v>
      </c>
      <c r="O42" s="16"/>
      <c r="P42" s="16"/>
      <c r="Q42" s="40">
        <v>2.177</v>
      </c>
      <c r="R42" s="41">
        <v>667</v>
      </c>
      <c r="S42" s="42">
        <v>2.8247</v>
      </c>
      <c r="T42" s="21">
        <f t="shared" ref="T42" si="19">E42 * $M$8 / F42</f>
        <v>397.09964412811388</v>
      </c>
      <c r="U42" s="18">
        <f t="shared" si="15"/>
        <v>4.3263916717667369E-2</v>
      </c>
      <c r="V42" s="19">
        <f t="shared" ref="V42" si="20">(U42 * $J$8 * $I$8 * S42) /( Q42 * 10000)</f>
        <v>6103.0816266680686</v>
      </c>
      <c r="W42" s="22">
        <f t="shared" ref="W42" si="21">2.5 *LOG10(T42) + D42</f>
        <v>16.96724874464746</v>
      </c>
      <c r="X42" s="22">
        <f t="shared" ref="X42" si="22">T42 / V42 * 100</f>
        <v>6.5065432255230622</v>
      </c>
      <c r="Y42" s="55" t="s">
        <v>201</v>
      </c>
    </row>
    <row r="43" spans="1:25">
      <c r="A43" s="16" t="s">
        <v>183</v>
      </c>
      <c r="B43" s="15" t="s">
        <v>180</v>
      </c>
      <c r="C43" s="46" t="s">
        <v>67</v>
      </c>
      <c r="D43" s="17">
        <v>9.9499999999999993</v>
      </c>
      <c r="E43" s="15">
        <v>3250</v>
      </c>
      <c r="F43" s="20">
        <v>44.3</v>
      </c>
      <c r="G43" s="15" t="s">
        <v>181</v>
      </c>
      <c r="H43" s="54" t="s">
        <v>184</v>
      </c>
      <c r="I43" s="15" t="s">
        <v>92</v>
      </c>
      <c r="J43" s="15" t="s">
        <v>70</v>
      </c>
      <c r="K43" s="15" t="s">
        <v>124</v>
      </c>
      <c r="L43" s="17">
        <v>179.7</v>
      </c>
      <c r="M43" s="17">
        <v>32.64</v>
      </c>
      <c r="N43" s="15" t="s">
        <v>185</v>
      </c>
      <c r="O43" s="16"/>
      <c r="P43" s="16"/>
      <c r="Q43" s="40">
        <v>3.4630000000000001</v>
      </c>
      <c r="R43" s="41">
        <v>288</v>
      </c>
      <c r="S43" s="42">
        <v>5.6261000000000001</v>
      </c>
      <c r="T43" s="21">
        <f t="shared" si="14"/>
        <v>220.82392776523704</v>
      </c>
      <c r="U43" s="18">
        <f t="shared" si="15"/>
        <v>3.0157302183865878E-2</v>
      </c>
      <c r="V43" s="19">
        <f t="shared" si="16"/>
        <v>5326.6834313098334</v>
      </c>
      <c r="W43" s="22">
        <f t="shared" si="17"/>
        <v>15.810115325874118</v>
      </c>
      <c r="X43" s="22">
        <f t="shared" si="18"/>
        <v>4.1456176364311617</v>
      </c>
    </row>
    <row r="44" spans="1:25">
      <c r="A44" s="16" t="s">
        <v>186</v>
      </c>
      <c r="B44" s="15" t="s">
        <v>187</v>
      </c>
      <c r="C44" s="46" t="s">
        <v>81</v>
      </c>
      <c r="D44" s="17">
        <v>3.78</v>
      </c>
      <c r="E44" s="15">
        <v>91622</v>
      </c>
      <c r="F44" s="20">
        <v>14.75</v>
      </c>
      <c r="G44" s="15" t="s">
        <v>181</v>
      </c>
      <c r="H44" s="54" t="s">
        <v>188</v>
      </c>
      <c r="I44" s="15" t="s">
        <v>92</v>
      </c>
      <c r="J44" s="15" t="s">
        <v>189</v>
      </c>
      <c r="K44" s="15" t="s">
        <v>124</v>
      </c>
      <c r="L44" s="17">
        <v>179.7</v>
      </c>
      <c r="M44" s="17">
        <v>37</v>
      </c>
      <c r="N44" s="15" t="s">
        <v>190</v>
      </c>
      <c r="O44" s="16"/>
      <c r="P44" s="16"/>
      <c r="Q44" s="40">
        <v>4.7619999999999996</v>
      </c>
      <c r="R44" s="41">
        <v>163</v>
      </c>
      <c r="S44" s="42">
        <v>5.6237000000000004</v>
      </c>
      <c r="T44" s="21">
        <f t="shared" si="14"/>
        <v>18697.099661016946</v>
      </c>
      <c r="U44" s="18">
        <f t="shared" si="15"/>
        <v>5.0140378080273535</v>
      </c>
      <c r="V44" s="19">
        <f t="shared" si="16"/>
        <v>643768.61769245972</v>
      </c>
      <c r="W44" s="22">
        <f t="shared" si="17"/>
        <v>14.459435607396445</v>
      </c>
      <c r="X44" s="22">
        <f t="shared" si="18"/>
        <v>2.9043198359117435</v>
      </c>
    </row>
    <row r="46" spans="1:25" ht="25">
      <c r="A46" s="30" t="s">
        <v>23</v>
      </c>
      <c r="T46" t="s">
        <v>42</v>
      </c>
    </row>
    <row r="48" spans="1:25">
      <c r="B48" t="s">
        <v>136</v>
      </c>
      <c r="C48" t="s">
        <v>85</v>
      </c>
      <c r="D48" t="s">
        <v>47</v>
      </c>
      <c r="E48" t="s">
        <v>10</v>
      </c>
      <c r="F48" t="s">
        <v>132</v>
      </c>
      <c r="G48" t="s">
        <v>131</v>
      </c>
      <c r="I48" s="8" t="s">
        <v>84</v>
      </c>
      <c r="J48" t="s">
        <v>28</v>
      </c>
      <c r="K48" t="s">
        <v>30</v>
      </c>
      <c r="L48" t="s">
        <v>29</v>
      </c>
      <c r="M48" t="s">
        <v>31</v>
      </c>
      <c r="N48" t="s">
        <v>36</v>
      </c>
      <c r="O48" t="s">
        <v>37</v>
      </c>
      <c r="P48" s="8" t="s">
        <v>41</v>
      </c>
      <c r="Q48" t="s">
        <v>69</v>
      </c>
      <c r="R48" t="s">
        <v>149</v>
      </c>
      <c r="T48" t="s">
        <v>44</v>
      </c>
      <c r="U48" t="s">
        <v>137</v>
      </c>
      <c r="V48" t="s">
        <v>45</v>
      </c>
      <c r="W48" t="s">
        <v>43</v>
      </c>
      <c r="X48" s="8" t="s">
        <v>140</v>
      </c>
    </row>
    <row r="49" spans="1:25">
      <c r="C49" t="s">
        <v>86</v>
      </c>
      <c r="D49" t="s">
        <v>135</v>
      </c>
      <c r="E49" t="s">
        <v>134</v>
      </c>
      <c r="F49" t="s">
        <v>133</v>
      </c>
      <c r="G49" t="s">
        <v>134</v>
      </c>
      <c r="I49" t="s">
        <v>87</v>
      </c>
      <c r="J49" t="s">
        <v>32</v>
      </c>
      <c r="K49" t="s">
        <v>33</v>
      </c>
      <c r="L49" t="s">
        <v>34</v>
      </c>
      <c r="M49" t="s">
        <v>35</v>
      </c>
      <c r="N49" t="s">
        <v>38</v>
      </c>
      <c r="O49" t="s">
        <v>39</v>
      </c>
      <c r="Q49" t="s">
        <v>138</v>
      </c>
      <c r="T49" t="s">
        <v>20</v>
      </c>
      <c r="V49" t="s">
        <v>46</v>
      </c>
      <c r="X49" t="s">
        <v>139</v>
      </c>
    </row>
    <row r="50" spans="1:25">
      <c r="A50" s="12" t="s">
        <v>88</v>
      </c>
    </row>
    <row r="52" spans="1:25" s="16" customFormat="1">
      <c r="A52" s="16" t="s">
        <v>130</v>
      </c>
      <c r="B52" s="32" t="str">
        <f>B14</f>
        <v>FS126</v>
      </c>
      <c r="C52" s="31">
        <f>Q14</f>
        <v>1.089</v>
      </c>
      <c r="D52" s="38">
        <f>D14</f>
        <v>12.3</v>
      </c>
      <c r="E52" s="32">
        <f>E14</f>
        <v>767</v>
      </c>
      <c r="F52" s="39">
        <f>F14</f>
        <v>59.01</v>
      </c>
      <c r="G52" s="15">
        <v>33</v>
      </c>
      <c r="I52" s="29">
        <f t="shared" ref="I52:I58" si="23">G52/F52</f>
        <v>0.55922724961870873</v>
      </c>
      <c r="J52" s="19">
        <f t="shared" ref="J52:J58" si="24">E52 * $M$8</f>
        <v>2308.6699999999996</v>
      </c>
      <c r="K52" s="21">
        <f t="shared" ref="K52:K58" si="25">SQRT(E52*$M$8)</f>
        <v>48.048621208105438</v>
      </c>
      <c r="L52" s="21">
        <f t="shared" ref="L52:L58" si="26">SQRT(G52 * $M$8)</f>
        <v>9.9664436987322613</v>
      </c>
      <c r="M52" s="21">
        <f t="shared" ref="M52:M58" si="27">SQRT($N$8 * $M$8 *F52)</f>
        <v>8.428999940680983</v>
      </c>
      <c r="N52" s="16">
        <f t="shared" ref="N52:N58" si="28">$O$8</f>
        <v>11.6</v>
      </c>
      <c r="O52" s="21">
        <f t="shared" ref="O52" si="29">SQRT(K52^2 + L52^2 + M52^2 + N52^2)</f>
        <v>51.123458803175666</v>
      </c>
      <c r="P52" s="22">
        <f t="shared" ref="P52" si="30">J52/O52</f>
        <v>45.158720752606641</v>
      </c>
      <c r="Q52" s="15">
        <v>36</v>
      </c>
      <c r="R52" s="15" t="s">
        <v>72</v>
      </c>
      <c r="T52" s="15">
        <v>3600</v>
      </c>
      <c r="U52" s="15">
        <v>100</v>
      </c>
      <c r="V52" s="19">
        <f t="shared" ref="V52:V58" si="31">P52 *SQRT(T52/F52)</f>
        <v>352.71999030601989</v>
      </c>
      <c r="W52" s="21">
        <f t="shared" ref="W52" si="32">2.5 *LOG10(V52/U52)</f>
        <v>1.3685751847058341</v>
      </c>
      <c r="X52" s="22">
        <f t="shared" ref="X52:X58" si="33">W52+D52</f>
        <v>13.668575184705835</v>
      </c>
    </row>
    <row r="53" spans="1:25" s="16" customFormat="1">
      <c r="A53" s="16" t="s">
        <v>60</v>
      </c>
      <c r="B53" s="32" t="str">
        <f>B15</f>
        <v>FS126</v>
      </c>
      <c r="C53" s="31">
        <f>Q15</f>
        <v>1.25</v>
      </c>
      <c r="D53" s="38">
        <f>D15</f>
        <v>12.3</v>
      </c>
      <c r="E53" s="32">
        <f>E15</f>
        <v>896</v>
      </c>
      <c r="F53" s="39">
        <f>F15</f>
        <v>59.01</v>
      </c>
      <c r="G53" s="15">
        <v>32</v>
      </c>
      <c r="I53" s="29">
        <f t="shared" si="23"/>
        <v>0.54228096932723269</v>
      </c>
      <c r="J53" s="19">
        <f t="shared" si="24"/>
        <v>2696.96</v>
      </c>
      <c r="K53" s="21">
        <f t="shared" si="25"/>
        <v>51.932263574775945</v>
      </c>
      <c r="L53" s="21">
        <f t="shared" si="26"/>
        <v>9.8142753171082369</v>
      </c>
      <c r="M53" s="21">
        <f t="shared" si="27"/>
        <v>8.428999940680983</v>
      </c>
      <c r="N53" s="16">
        <f t="shared" si="28"/>
        <v>11.6</v>
      </c>
      <c r="O53" s="21">
        <f t="shared" ref="O53" si="34">SQRT(K53^2 + L53^2 + M53^2 + N53^2)</f>
        <v>54.762104050154981</v>
      </c>
      <c r="P53" s="22">
        <f t="shared" ref="P53" si="35">J53/O53</f>
        <v>49.248655558046757</v>
      </c>
      <c r="Q53" s="15">
        <v>44</v>
      </c>
      <c r="R53" s="15"/>
      <c r="T53" s="15">
        <v>3600</v>
      </c>
      <c r="U53" s="15">
        <v>100</v>
      </c>
      <c r="V53" s="19">
        <f t="shared" si="31"/>
        <v>384.66513270343427</v>
      </c>
      <c r="W53" s="21">
        <f t="shared" ref="W53" si="36">2.5 *LOG10(V53/U53)</f>
        <v>1.4627070555722945</v>
      </c>
      <c r="X53" s="22">
        <f t="shared" si="33"/>
        <v>13.762707055572296</v>
      </c>
    </row>
    <row r="54" spans="1:25" s="16" customFormat="1">
      <c r="A54" s="16" t="s">
        <v>59</v>
      </c>
      <c r="B54" s="32" t="str">
        <f>B16</f>
        <v>FS126</v>
      </c>
      <c r="C54" s="31">
        <f>Q16</f>
        <v>1.6559999999999999</v>
      </c>
      <c r="D54" s="38">
        <f>D16</f>
        <v>11.77</v>
      </c>
      <c r="E54" s="32">
        <f>E16</f>
        <v>547</v>
      </c>
      <c r="F54" s="39">
        <f>F16</f>
        <v>59.01</v>
      </c>
      <c r="G54" s="15">
        <v>32</v>
      </c>
      <c r="I54" s="29">
        <f t="shared" si="23"/>
        <v>0.54228096932723269</v>
      </c>
      <c r="J54" s="19">
        <f t="shared" si="24"/>
        <v>1646.4699999999998</v>
      </c>
      <c r="K54" s="21">
        <f t="shared" si="25"/>
        <v>40.576717462111198</v>
      </c>
      <c r="L54" s="21">
        <f t="shared" si="26"/>
        <v>9.8142753171082369</v>
      </c>
      <c r="M54" s="21">
        <f t="shared" si="27"/>
        <v>8.428999940680983</v>
      </c>
      <c r="N54" s="16">
        <f t="shared" si="28"/>
        <v>11.6</v>
      </c>
      <c r="O54" s="21">
        <f t="shared" ref="O54" si="37">SQRT(K54^2 + L54^2 + M54^2 + N54^2)</f>
        <v>44.140661979630522</v>
      </c>
      <c r="P54" s="22">
        <f t="shared" ref="P54" si="38">J54/O54</f>
        <v>37.300528042823466</v>
      </c>
      <c r="Q54" s="15">
        <v>28</v>
      </c>
      <c r="R54" s="15"/>
      <c r="T54" s="15">
        <v>3600</v>
      </c>
      <c r="U54" s="15">
        <v>100</v>
      </c>
      <c r="V54" s="19">
        <f t="shared" si="31"/>
        <v>291.34221852187193</v>
      </c>
      <c r="W54" s="21">
        <f t="shared" ref="W54" si="39">2.5 *LOG10(V54/U54)</f>
        <v>1.1610085574542786</v>
      </c>
      <c r="X54" s="22">
        <f t="shared" si="33"/>
        <v>12.931008557454279</v>
      </c>
    </row>
    <row r="55" spans="1:25" s="16" customFormat="1">
      <c r="A55" s="16" t="s">
        <v>58</v>
      </c>
      <c r="B55" s="32" t="str">
        <f>B17</f>
        <v>FS126</v>
      </c>
      <c r="C55" s="31">
        <f>Q17</f>
        <v>2.177</v>
      </c>
      <c r="D55" s="38">
        <f>D17</f>
        <v>11.64</v>
      </c>
      <c r="E55" s="32">
        <f>E17</f>
        <v>934</v>
      </c>
      <c r="F55" s="39">
        <f>F17</f>
        <v>90</v>
      </c>
      <c r="G55" s="15">
        <v>48</v>
      </c>
      <c r="I55" s="29">
        <f t="shared" si="23"/>
        <v>0.53333333333333333</v>
      </c>
      <c r="J55" s="19">
        <f t="shared" si="24"/>
        <v>2811.3399999999997</v>
      </c>
      <c r="K55" s="21">
        <f t="shared" si="25"/>
        <v>53.022070876192679</v>
      </c>
      <c r="L55" s="21">
        <f t="shared" si="26"/>
        <v>12.019983361053376</v>
      </c>
      <c r="M55" s="21">
        <f t="shared" si="27"/>
        <v>10.409610943738484</v>
      </c>
      <c r="N55" s="16">
        <f t="shared" si="28"/>
        <v>11.6</v>
      </c>
      <c r="O55" s="21">
        <f t="shared" ref="O55" si="40">SQRT(K55^2 + L55^2 + M55^2 + N55^2)</f>
        <v>56.557404466612503</v>
      </c>
      <c r="P55" s="22">
        <f t="shared" ref="P55" si="41">J55/O55</f>
        <v>49.707726627724163</v>
      </c>
      <c r="Q55" s="15">
        <v>37</v>
      </c>
      <c r="R55" s="15"/>
      <c r="T55" s="15">
        <v>3600</v>
      </c>
      <c r="U55" s="15">
        <v>100</v>
      </c>
      <c r="V55" s="19">
        <f t="shared" si="31"/>
        <v>314.37926690521806</v>
      </c>
      <c r="W55" s="21">
        <f t="shared" ref="W55" si="42">2.5 *LOG10(V55/U55)</f>
        <v>1.2436347422291552</v>
      </c>
      <c r="X55" s="22">
        <f t="shared" si="33"/>
        <v>12.883634742229155</v>
      </c>
      <c r="Y55" s="55" t="s">
        <v>54</v>
      </c>
    </row>
    <row r="56" spans="1:25" s="16" customFormat="1">
      <c r="A56" s="16" t="s">
        <v>58</v>
      </c>
      <c r="B56" s="32" t="str">
        <f>B18</f>
        <v>FS126</v>
      </c>
      <c r="C56" s="31">
        <f>Q18</f>
        <v>2.177</v>
      </c>
      <c r="D56" s="38">
        <f>D18</f>
        <v>11.64</v>
      </c>
      <c r="E56" s="32">
        <f>E18</f>
        <v>1342</v>
      </c>
      <c r="F56" s="39">
        <f>F18</f>
        <v>90</v>
      </c>
      <c r="G56" s="15">
        <v>46</v>
      </c>
      <c r="I56" s="29">
        <f t="shared" ref="I56" si="43">G56/F56</f>
        <v>0.51111111111111107</v>
      </c>
      <c r="J56" s="19">
        <f t="shared" ref="J56" si="44">E56 * $M$8</f>
        <v>4039.4199999999996</v>
      </c>
      <c r="K56" s="21">
        <f t="shared" ref="K56" si="45">SQRT(E56*$M$8)</f>
        <v>63.556431617893715</v>
      </c>
      <c r="L56" s="21">
        <f t="shared" ref="L56" si="46">SQRT(G56 * $M$8)</f>
        <v>11.766902736064406</v>
      </c>
      <c r="M56" s="21">
        <f t="shared" ref="M56" si="47">SQRT($N$8 * $M$8 *F56)</f>
        <v>10.409610943738484</v>
      </c>
      <c r="N56" s="16">
        <f t="shared" si="28"/>
        <v>11.6</v>
      </c>
      <c r="O56" s="21">
        <f t="shared" ref="O56" si="48">SQRT(K56^2 + L56^2 + M56^2 + N56^2)</f>
        <v>66.489096850536328</v>
      </c>
      <c r="P56" s="22">
        <f t="shared" ref="P56" si="49">J56/O56</f>
        <v>60.753118802025298</v>
      </c>
      <c r="Q56" s="15">
        <v>41</v>
      </c>
      <c r="R56" s="15"/>
      <c r="T56" s="15">
        <v>3600</v>
      </c>
      <c r="U56" s="15">
        <v>100</v>
      </c>
      <c r="V56" s="19">
        <f t="shared" ref="V56" si="50">P56 *SQRT(T56/F56)</f>
        <v>384.23646074640027</v>
      </c>
      <c r="W56" s="21">
        <f t="shared" ref="W56" si="51">2.5 *LOG10(V56/U56)</f>
        <v>1.4614964332614493</v>
      </c>
      <c r="X56" s="22">
        <f t="shared" ref="X56" si="52">W56+D56</f>
        <v>13.101496433261449</v>
      </c>
      <c r="Y56" s="55" t="s">
        <v>201</v>
      </c>
    </row>
    <row r="57" spans="1:25" s="16" customFormat="1">
      <c r="A57" s="16" t="s">
        <v>66</v>
      </c>
      <c r="B57" s="32" t="str">
        <f>B19</f>
        <v>HD84800</v>
      </c>
      <c r="C57" s="31">
        <f>Q19</f>
        <v>3.4630000000000001</v>
      </c>
      <c r="D57" s="38">
        <f>D19</f>
        <v>7.55</v>
      </c>
      <c r="E57" s="32">
        <f>E19</f>
        <v>12084</v>
      </c>
      <c r="F57" s="39">
        <f>F19</f>
        <v>44.25</v>
      </c>
      <c r="G57" s="15">
        <v>4415</v>
      </c>
      <c r="I57" s="29">
        <f t="shared" si="23"/>
        <v>99.774011299435031</v>
      </c>
      <c r="J57" s="19">
        <f t="shared" si="24"/>
        <v>36372.839999999997</v>
      </c>
      <c r="K57" s="21">
        <f t="shared" si="25"/>
        <v>190.71664846048444</v>
      </c>
      <c r="L57" s="21">
        <f t="shared" si="26"/>
        <v>115.27857563311579</v>
      </c>
      <c r="M57" s="21">
        <f t="shared" si="27"/>
        <v>7.299109534730932</v>
      </c>
      <c r="N57" s="16">
        <f t="shared" si="28"/>
        <v>11.6</v>
      </c>
      <c r="O57" s="21">
        <f t="shared" ref="O57" si="53">SQRT(K57^2 + L57^2 + M57^2 + N57^2)</f>
        <v>223.27074819599633</v>
      </c>
      <c r="P57" s="22">
        <f t="shared" ref="P57" si="54">J57/O57</f>
        <v>162.90911502688388</v>
      </c>
      <c r="Q57" s="15">
        <v>55</v>
      </c>
      <c r="R57" s="15"/>
      <c r="T57" s="15">
        <v>3600</v>
      </c>
      <c r="U57" s="15">
        <v>100</v>
      </c>
      <c r="V57" s="19">
        <f t="shared" si="31"/>
        <v>1469.3998708249587</v>
      </c>
      <c r="W57" s="21">
        <f t="shared" ref="W57" si="55">2.5 *LOG10(V57/U57)</f>
        <v>2.9178499933237561</v>
      </c>
      <c r="X57" s="22">
        <f t="shared" si="33"/>
        <v>10.467849993323757</v>
      </c>
    </row>
    <row r="58" spans="1:25" s="16" customFormat="1">
      <c r="A58" s="16" t="s">
        <v>83</v>
      </c>
      <c r="B58" s="32" t="str">
        <f>B20</f>
        <v>HD84800</v>
      </c>
      <c r="C58" s="31">
        <f>Q20</f>
        <v>4.7619999999999996</v>
      </c>
      <c r="D58" s="38">
        <f>D20</f>
        <v>7.56</v>
      </c>
      <c r="E58" s="32">
        <f>E20</f>
        <v>1474</v>
      </c>
      <c r="F58" s="39">
        <f>F20</f>
        <v>14.8</v>
      </c>
      <c r="G58" s="15">
        <v>98000</v>
      </c>
      <c r="I58" s="29">
        <f t="shared" si="23"/>
        <v>6621.6216216216217</v>
      </c>
      <c r="J58" s="19">
        <f t="shared" si="24"/>
        <v>4436.74</v>
      </c>
      <c r="K58" s="21">
        <f t="shared" si="25"/>
        <v>66.608858269752673</v>
      </c>
      <c r="L58" s="21">
        <f t="shared" si="26"/>
        <v>543.12061275558301</v>
      </c>
      <c r="M58" s="21">
        <f t="shared" si="27"/>
        <v>4.2212794269036493</v>
      </c>
      <c r="N58" s="16">
        <f t="shared" si="28"/>
        <v>11.6</v>
      </c>
      <c r="O58" s="21">
        <f t="shared" ref="O58" si="56">SQRT(K58^2 + L58^2 + M58^2 + N58^2)</f>
        <v>547.32907761236288</v>
      </c>
      <c r="P58" s="22">
        <f t="shared" ref="P58" si="57">J58/O58</f>
        <v>8.1061653427122504</v>
      </c>
      <c r="Q58" s="15">
        <v>12</v>
      </c>
      <c r="R58" s="15"/>
      <c r="T58" s="15">
        <v>3600</v>
      </c>
      <c r="U58" s="15">
        <v>100</v>
      </c>
      <c r="V58" s="19">
        <f t="shared" si="31"/>
        <v>126.4258407847134</v>
      </c>
      <c r="W58" s="21">
        <f t="shared" ref="W58" si="58">2.5 *LOG10(V58/U58)</f>
        <v>0.25458962638528959</v>
      </c>
      <c r="X58" s="22">
        <f t="shared" si="33"/>
        <v>7.8145896263852892</v>
      </c>
    </row>
    <row r="59" spans="1:25" s="23" customFormat="1">
      <c r="C59" s="27"/>
      <c r="D59" s="27"/>
      <c r="F59" s="26"/>
    </row>
    <row r="60" spans="1:25" s="16" customFormat="1">
      <c r="A60" s="16" t="s">
        <v>96</v>
      </c>
      <c r="B60" s="32" t="str">
        <f>B22</f>
        <v>FS2</v>
      </c>
      <c r="C60" s="31">
        <f>Q22</f>
        <v>1.089</v>
      </c>
      <c r="D60" s="38">
        <f>D22</f>
        <v>10.72</v>
      </c>
      <c r="E60" s="32">
        <f>E22</f>
        <v>1288</v>
      </c>
      <c r="F60" s="39">
        <f>F22</f>
        <v>239</v>
      </c>
      <c r="G60" s="15">
        <v>90</v>
      </c>
      <c r="I60" s="29">
        <f t="shared" ref="I60:I66" si="59">G60/F60</f>
        <v>0.37656903765690375</v>
      </c>
      <c r="J60" s="19">
        <f t="shared" ref="J60:J66" si="60">E60 * $M$8</f>
        <v>3876.8799999999997</v>
      </c>
      <c r="K60" s="21">
        <f t="shared" ref="K60:K66" si="61">SQRT(E60*$M$8)</f>
        <v>62.264596682223839</v>
      </c>
      <c r="L60" s="21">
        <f t="shared" ref="L60:L66" si="62">SQRT(G60 * $M$8)</f>
        <v>16.459040069214243</v>
      </c>
      <c r="M60" s="21">
        <f t="shared" ref="M60:M66" si="63">SQRT($N$8 * $M$8 *F60)</f>
        <v>16.963372306236753</v>
      </c>
      <c r="N60" s="16">
        <f t="shared" ref="N60:N66" si="64">$O$8</f>
        <v>11.6</v>
      </c>
      <c r="O60" s="21">
        <f t="shared" ref="O60" si="65">SQRT(K60^2 + L60^2 + M60^2 + N60^2)</f>
        <v>67.602485161419921</v>
      </c>
      <c r="P60" s="22">
        <f t="shared" ref="P60" si="66">J60/O60</f>
        <v>57.34818758131243</v>
      </c>
      <c r="Q60" s="15">
        <v>41</v>
      </c>
      <c r="R60" s="15"/>
      <c r="T60" s="15">
        <v>3600</v>
      </c>
      <c r="U60" s="15">
        <v>100</v>
      </c>
      <c r="V60" s="19">
        <f t="shared" ref="V60:V66" si="67">P60 *SQRT(T60/F60)</f>
        <v>222.57275269507659</v>
      </c>
      <c r="W60" s="21">
        <f t="shared" ref="W60" si="68">2.5 *LOG10(V60/U60)</f>
        <v>0.86867999255665562</v>
      </c>
      <c r="X60" s="22">
        <f t="shared" ref="X60:X66" si="69">W60+D60</f>
        <v>11.588679992556656</v>
      </c>
    </row>
    <row r="61" spans="1:25" s="16" customFormat="1">
      <c r="A61" s="16" t="s">
        <v>78</v>
      </c>
      <c r="B61" s="32" t="str">
        <f>B23</f>
        <v>FS2</v>
      </c>
      <c r="C61" s="31">
        <f>Q23</f>
        <v>1.25</v>
      </c>
      <c r="D61" s="38">
        <f>D23</f>
        <v>10.72</v>
      </c>
      <c r="E61" s="32">
        <f>E23</f>
        <v>1527</v>
      </c>
      <c r="F61" s="39">
        <f>F23</f>
        <v>239</v>
      </c>
      <c r="G61" s="15">
        <v>80</v>
      </c>
      <c r="I61" s="29">
        <f t="shared" si="59"/>
        <v>0.33472803347280333</v>
      </c>
      <c r="J61" s="19">
        <f t="shared" si="60"/>
        <v>4596.2699999999995</v>
      </c>
      <c r="K61" s="21">
        <f t="shared" si="61"/>
        <v>67.795796329861034</v>
      </c>
      <c r="L61" s="21">
        <f t="shared" si="62"/>
        <v>15.517731793016658</v>
      </c>
      <c r="M61" s="21">
        <f t="shared" si="63"/>
        <v>16.963372306236753</v>
      </c>
      <c r="N61" s="16">
        <f t="shared" si="64"/>
        <v>11.6</v>
      </c>
      <c r="O61" s="21">
        <f t="shared" ref="O61" si="70">SQRT(K61^2 + L61^2 + M61^2 + N61^2)</f>
        <v>72.521624361289639</v>
      </c>
      <c r="P61" s="22">
        <f t="shared" ref="P61" si="71">J61/O61</f>
        <v>63.377924039624546</v>
      </c>
      <c r="Q61" s="15">
        <v>43</v>
      </c>
      <c r="R61" s="15"/>
      <c r="T61" s="15">
        <v>3600</v>
      </c>
      <c r="U61" s="15">
        <v>100</v>
      </c>
      <c r="V61" s="19">
        <f t="shared" si="67"/>
        <v>245.97462637503423</v>
      </c>
      <c r="W61" s="21">
        <f t="shared" ref="W61" si="72">2.5 *LOG10(V61/U61)</f>
        <v>0.97722577392047816</v>
      </c>
      <c r="X61" s="22">
        <f t="shared" si="69"/>
        <v>11.697225773920479</v>
      </c>
    </row>
    <row r="62" spans="1:25" s="16" customFormat="1">
      <c r="A62" s="16" t="s">
        <v>77</v>
      </c>
      <c r="B62" s="32" t="str">
        <f>B24</f>
        <v>FS2</v>
      </c>
      <c r="C62" s="31">
        <f>Q24</f>
        <v>1.6559999999999999</v>
      </c>
      <c r="D62" s="38">
        <f>D24</f>
        <v>10.51</v>
      </c>
      <c r="E62" s="32">
        <f>E24</f>
        <v>1540</v>
      </c>
      <c r="F62" s="39">
        <f>F24</f>
        <v>239</v>
      </c>
      <c r="G62" s="15">
        <v>120</v>
      </c>
      <c r="I62" s="29">
        <f t="shared" si="59"/>
        <v>0.502092050209205</v>
      </c>
      <c r="J62" s="19">
        <f t="shared" si="60"/>
        <v>4635.3999999999996</v>
      </c>
      <c r="K62" s="21">
        <f t="shared" si="61"/>
        <v>68.083771928411835</v>
      </c>
      <c r="L62" s="21">
        <f t="shared" si="62"/>
        <v>19.00526242912736</v>
      </c>
      <c r="M62" s="21">
        <f t="shared" si="63"/>
        <v>16.963372306236753</v>
      </c>
      <c r="N62" s="16">
        <f t="shared" si="64"/>
        <v>11.6</v>
      </c>
      <c r="O62" s="21">
        <f t="shared" ref="O62" si="73">SQRT(K62^2 + L62^2 + M62^2 + N62^2)</f>
        <v>73.613286844156065</v>
      </c>
      <c r="P62" s="22">
        <f t="shared" ref="P62" si="74">J62/O62</f>
        <v>62.969610497265684</v>
      </c>
      <c r="Q62" s="15">
        <v>50</v>
      </c>
      <c r="R62" s="15"/>
      <c r="T62" s="15">
        <v>3600</v>
      </c>
      <c r="U62" s="15">
        <v>100</v>
      </c>
      <c r="V62" s="19">
        <f t="shared" si="67"/>
        <v>244.38992992832203</v>
      </c>
      <c r="W62" s="21">
        <f t="shared" ref="W62" si="75">2.5 *LOG10(V62/U62)</f>
        <v>0.97020826715600506</v>
      </c>
      <c r="X62" s="22">
        <f t="shared" si="69"/>
        <v>11.480208267156005</v>
      </c>
    </row>
    <row r="63" spans="1:25" s="16" customFormat="1">
      <c r="A63" s="16" t="s">
        <v>74</v>
      </c>
      <c r="B63" s="32" t="str">
        <f>B25</f>
        <v>FS2</v>
      </c>
      <c r="C63" s="31">
        <f>Q25</f>
        <v>2.177</v>
      </c>
      <c r="D63" s="38">
        <f>D25</f>
        <v>10.47</v>
      </c>
      <c r="E63" s="32">
        <f>E25</f>
        <v>2064</v>
      </c>
      <c r="F63" s="39">
        <f>F25</f>
        <v>239</v>
      </c>
      <c r="G63" s="15">
        <v>100</v>
      </c>
      <c r="I63" s="29">
        <f t="shared" si="59"/>
        <v>0.41841004184100417</v>
      </c>
      <c r="J63" s="19">
        <f t="shared" si="60"/>
        <v>6212.6399999999994</v>
      </c>
      <c r="K63" s="21">
        <f t="shared" si="61"/>
        <v>78.820301953240445</v>
      </c>
      <c r="L63" s="21">
        <f t="shared" si="62"/>
        <v>17.349351572897472</v>
      </c>
      <c r="M63" s="21">
        <f t="shared" si="63"/>
        <v>16.963372306236753</v>
      </c>
      <c r="N63" s="16">
        <f t="shared" si="64"/>
        <v>11.6</v>
      </c>
      <c r="O63" s="21">
        <f t="shared" ref="O63" si="76">SQRT(K63^2 + L63^2 + M63^2 + N63^2)</f>
        <v>83.282387093550582</v>
      </c>
      <c r="P63" s="22">
        <f t="shared" ref="P63" si="77">J63/O63</f>
        <v>74.597285414278289</v>
      </c>
      <c r="Q63" s="15">
        <v>51</v>
      </c>
      <c r="R63" s="15"/>
      <c r="T63" s="15">
        <v>3600</v>
      </c>
      <c r="U63" s="15">
        <v>100</v>
      </c>
      <c r="V63" s="19">
        <f t="shared" si="67"/>
        <v>289.51783584607284</v>
      </c>
      <c r="W63" s="21">
        <f t="shared" ref="W63" si="78">2.5 *LOG10(V63/U63)</f>
        <v>1.1541883093721679</v>
      </c>
      <c r="X63" s="22">
        <f t="shared" si="69"/>
        <v>11.624188309372169</v>
      </c>
      <c r="Y63" s="16" t="s">
        <v>54</v>
      </c>
    </row>
    <row r="64" spans="1:25" s="16" customFormat="1">
      <c r="A64" s="16" t="s">
        <v>74</v>
      </c>
      <c r="B64" s="32" t="str">
        <f>B26</f>
        <v>FS2</v>
      </c>
      <c r="C64" s="31">
        <f>Q26</f>
        <v>2.177</v>
      </c>
      <c r="D64" s="38">
        <f>D26</f>
        <v>10.47</v>
      </c>
      <c r="E64" s="32">
        <f>E26</f>
        <v>2239</v>
      </c>
      <c r="F64" s="39">
        <f>F26</f>
        <v>239</v>
      </c>
      <c r="G64" s="15">
        <v>100</v>
      </c>
      <c r="I64" s="29">
        <f t="shared" ref="I64" si="79">G64/F64</f>
        <v>0.41841004184100417</v>
      </c>
      <c r="J64" s="19">
        <f t="shared" ref="J64" si="80">E64 * $M$8</f>
        <v>6739.3899999999994</v>
      </c>
      <c r="K64" s="21">
        <f t="shared" ref="K64" si="81">SQRT(E64*$M$8)</f>
        <v>82.093787828312557</v>
      </c>
      <c r="L64" s="21">
        <f t="shared" ref="L64" si="82">SQRT(G64 * $M$8)</f>
        <v>17.349351572897472</v>
      </c>
      <c r="M64" s="21">
        <f t="shared" ref="M64" si="83">SQRT($N$8 * $M$8 *F64)</f>
        <v>16.963372306236753</v>
      </c>
      <c r="N64" s="16">
        <f t="shared" si="64"/>
        <v>11.6</v>
      </c>
      <c r="O64" s="21">
        <f t="shared" ref="O64" si="84">SQRT(K64^2 + L64^2 + M64^2 + N64^2)</f>
        <v>86.386955033731795</v>
      </c>
      <c r="P64" s="22">
        <f t="shared" ref="P64" si="85">J64/O64</f>
        <v>78.013977890162323</v>
      </c>
      <c r="Q64" s="15">
        <v>51</v>
      </c>
      <c r="R64" s="15"/>
      <c r="T64" s="15">
        <v>3600</v>
      </c>
      <c r="U64" s="15">
        <v>100</v>
      </c>
      <c r="V64" s="19">
        <f t="shared" ref="V64" si="86">P64 *SQRT(T64/F64)</f>
        <v>302.77828367438173</v>
      </c>
      <c r="W64" s="21">
        <f t="shared" ref="W64" si="87">2.5 *LOG10(V64/U64)</f>
        <v>1.2028118070354323</v>
      </c>
      <c r="X64" s="22">
        <f t="shared" ref="X64" si="88">W64+D64</f>
        <v>11.672811807035433</v>
      </c>
      <c r="Y64" s="55" t="s">
        <v>201</v>
      </c>
    </row>
    <row r="65" spans="1:25" s="16" customFormat="1">
      <c r="A65" s="16" t="s">
        <v>79</v>
      </c>
      <c r="B65" s="32" t="str">
        <f>B27</f>
        <v>HD203856</v>
      </c>
      <c r="C65" s="31">
        <f>Q27</f>
        <v>3.4630000000000001</v>
      </c>
      <c r="D65" s="38">
        <f>D27</f>
        <v>6.87</v>
      </c>
      <c r="E65" s="32">
        <f>E27</f>
        <v>4460</v>
      </c>
      <c r="F65" s="39">
        <f>F27</f>
        <v>59.01</v>
      </c>
      <c r="G65" s="15">
        <v>420</v>
      </c>
      <c r="I65" s="29">
        <f t="shared" si="59"/>
        <v>7.117437722419929</v>
      </c>
      <c r="J65" s="19">
        <f t="shared" si="60"/>
        <v>13424.599999999999</v>
      </c>
      <c r="K65" s="21">
        <f t="shared" si="61"/>
        <v>115.86457612229891</v>
      </c>
      <c r="L65" s="21">
        <f t="shared" si="62"/>
        <v>35.555590277760821</v>
      </c>
      <c r="M65" s="21">
        <f t="shared" si="63"/>
        <v>8.428999940680983</v>
      </c>
      <c r="N65" s="16">
        <f t="shared" si="64"/>
        <v>11.6</v>
      </c>
      <c r="O65" s="21">
        <f t="shared" ref="O65" si="89">SQRT(K65^2 + L65^2 + M65^2 + N65^2)</f>
        <v>122.04264844717194</v>
      </c>
      <c r="P65" s="22">
        <f t="shared" ref="P65" si="90">J65/O65</f>
        <v>109.99925166169305</v>
      </c>
      <c r="Q65" s="15">
        <v>140</v>
      </c>
      <c r="R65" s="15"/>
      <c r="T65" s="15">
        <v>3600</v>
      </c>
      <c r="U65" s="15">
        <v>100</v>
      </c>
      <c r="V65" s="19">
        <f t="shared" si="67"/>
        <v>859.16815917648137</v>
      </c>
      <c r="W65" s="21">
        <f t="shared" ref="W65" si="91">2.5 *LOG10(V65/U65)</f>
        <v>2.3351954341854047</v>
      </c>
      <c r="X65" s="22">
        <f t="shared" si="69"/>
        <v>9.2051954341854056</v>
      </c>
    </row>
    <row r="66" spans="1:25" s="16" customFormat="1">
      <c r="A66" s="16" t="s">
        <v>80</v>
      </c>
      <c r="B66" s="32" t="str">
        <f>B28</f>
        <v>HD203856</v>
      </c>
      <c r="C66" s="31">
        <f>Q28</f>
        <v>4.7619999999999996</v>
      </c>
      <c r="D66" s="38">
        <f>D28</f>
        <v>6.84</v>
      </c>
      <c r="E66" s="32">
        <f>E28</f>
        <v>1426</v>
      </c>
      <c r="F66" s="39">
        <f>F28</f>
        <v>38.36</v>
      </c>
      <c r="G66" s="15">
        <v>6000</v>
      </c>
      <c r="I66" s="29">
        <f t="shared" si="59"/>
        <v>156.41293013555787</v>
      </c>
      <c r="J66" s="19">
        <f t="shared" si="60"/>
        <v>4292.2599999999993</v>
      </c>
      <c r="K66" s="21">
        <f t="shared" si="61"/>
        <v>65.515341714746469</v>
      </c>
      <c r="L66" s="21">
        <f t="shared" si="62"/>
        <v>134.38749941865873</v>
      </c>
      <c r="M66" s="21">
        <f t="shared" si="63"/>
        <v>6.7959870511942562</v>
      </c>
      <c r="N66" s="16">
        <f t="shared" si="64"/>
        <v>11.6</v>
      </c>
      <c r="O66" s="21">
        <f t="shared" ref="O66" si="92">SQRT(K66^2 + L66^2 + M66^2 + N66^2)</f>
        <v>150.10997781626642</v>
      </c>
      <c r="P66" s="22">
        <f t="shared" ref="P66" si="93">J66/O66</f>
        <v>28.594101887442125</v>
      </c>
      <c r="Q66" s="15">
        <v>35</v>
      </c>
      <c r="R66" s="15"/>
      <c r="T66" s="15">
        <v>3600</v>
      </c>
      <c r="U66" s="15">
        <v>100</v>
      </c>
      <c r="V66" s="19">
        <f t="shared" si="67"/>
        <v>277.00551231974504</v>
      </c>
      <c r="W66" s="21">
        <f t="shared" ref="W66" si="94">2.5 *LOG10(V66/U66)</f>
        <v>1.1062210286740093</v>
      </c>
      <c r="X66" s="22">
        <f t="shared" si="69"/>
        <v>7.9462210286740094</v>
      </c>
    </row>
    <row r="67" spans="1:25" s="3" customFormat="1"/>
    <row r="68" spans="1:25" s="3" customFormat="1">
      <c r="A68" s="37" t="s">
        <v>89</v>
      </c>
    </row>
    <row r="69" spans="1:25" s="3" customFormat="1"/>
    <row r="70" spans="1:25" s="16" customFormat="1">
      <c r="A70" s="16" t="s">
        <v>63</v>
      </c>
      <c r="B70" s="32" t="str">
        <f>B32</f>
        <v>HIP24508</v>
      </c>
      <c r="C70" s="31">
        <f>Q32</f>
        <v>1.089</v>
      </c>
      <c r="D70" s="38">
        <f>D32</f>
        <v>8.7200000000000006</v>
      </c>
      <c r="E70" s="32">
        <f>E32</f>
        <v>7900</v>
      </c>
      <c r="F70" s="39">
        <f>F32</f>
        <v>4.43</v>
      </c>
      <c r="G70" s="15">
        <v>15</v>
      </c>
      <c r="I70" s="29">
        <f>G70/F70</f>
        <v>3.3860045146726865</v>
      </c>
      <c r="J70" s="19">
        <f>E70 * $M$8</f>
        <v>23779</v>
      </c>
      <c r="K70" s="21">
        <f>SQRT(E70*$M$8)</f>
        <v>154.20440979427275</v>
      </c>
      <c r="L70" s="21">
        <f>SQRT(G70 * $M$8)</f>
        <v>6.719374970932936</v>
      </c>
      <c r="M70" s="21">
        <f>SQRT($N$8 * $M$8 *F70)</f>
        <v>2.3094847910302416</v>
      </c>
      <c r="N70" s="16">
        <f>$O$8</f>
        <v>11.6</v>
      </c>
      <c r="O70" s="21">
        <f t="shared" ref="O70:O73" si="95">SQRT(K70^2 + L70^2 + M70^2 + N70^2)</f>
        <v>154.80324195571617</v>
      </c>
      <c r="P70" s="22">
        <f t="shared" ref="P70:P73" si="96">J70/O70</f>
        <v>153.60789412150908</v>
      </c>
      <c r="Q70" s="15" t="s">
        <v>72</v>
      </c>
      <c r="R70" s="15"/>
      <c r="T70" s="15">
        <v>3600</v>
      </c>
      <c r="U70" s="15">
        <v>100</v>
      </c>
      <c r="V70" s="19">
        <f>P70 *SQRT(T70/F70)</f>
        <v>4378.878776968626</v>
      </c>
      <c r="W70" s="21">
        <f t="shared" ref="W70:W73" si="97">2.5 *LOG10(V70/U70)</f>
        <v>4.1034073063336365</v>
      </c>
      <c r="X70" s="22">
        <f>W70+D70</f>
        <v>12.823407306333637</v>
      </c>
    </row>
    <row r="71" spans="1:25" s="16" customFormat="1">
      <c r="A71" s="16" t="s">
        <v>60</v>
      </c>
      <c r="B71" s="32" t="str">
        <f>B33</f>
        <v>GD71</v>
      </c>
      <c r="C71" s="31">
        <f>Q33</f>
        <v>1.25</v>
      </c>
      <c r="D71" s="38">
        <f>D33</f>
        <v>13.72</v>
      </c>
      <c r="E71" s="32">
        <f>E33</f>
        <v>6791</v>
      </c>
      <c r="F71" s="39">
        <f>F33</f>
        <v>119.5</v>
      </c>
      <c r="G71" s="15">
        <v>16</v>
      </c>
      <c r="I71" s="29">
        <f>G71/F71</f>
        <v>0.13389121338912133</v>
      </c>
      <c r="J71" s="19">
        <f>E71 * $M$8</f>
        <v>20440.91</v>
      </c>
      <c r="K71" s="21">
        <f>SQRT(E71*$M$8)</f>
        <v>142.97171048847392</v>
      </c>
      <c r="L71" s="21">
        <f>SQRT(G71 * $M$8)</f>
        <v>6.9397406291589885</v>
      </c>
      <c r="M71" s="21">
        <f>SQRT($N$8 * $M$8 *F71)</f>
        <v>11.994915589532091</v>
      </c>
      <c r="N71" s="16">
        <f>$O$8</f>
        <v>11.6</v>
      </c>
      <c r="O71" s="21">
        <f t="shared" si="95"/>
        <v>144.10936125040595</v>
      </c>
      <c r="P71" s="22">
        <f t="shared" si="96"/>
        <v>141.84304074793349</v>
      </c>
      <c r="Q71" s="15">
        <v>122</v>
      </c>
      <c r="R71" s="15"/>
      <c r="T71" s="15">
        <v>3600</v>
      </c>
      <c r="U71" s="15">
        <v>100</v>
      </c>
      <c r="V71" s="19">
        <f>P71 *SQRT(T71/F71)</f>
        <v>778.52996089337091</v>
      </c>
      <c r="W71" s="21">
        <f t="shared" si="97"/>
        <v>2.2281883264616549</v>
      </c>
      <c r="X71" s="22">
        <f>W71+D71</f>
        <v>15.948188326461656</v>
      </c>
    </row>
    <row r="72" spans="1:25" s="16" customFormat="1">
      <c r="A72" s="16" t="s">
        <v>59</v>
      </c>
      <c r="B72" s="32" t="str">
        <f>B34</f>
        <v>GD71</v>
      </c>
      <c r="C72" s="31">
        <f>Q34</f>
        <v>1.6559999999999999</v>
      </c>
      <c r="D72" s="38">
        <f>D34</f>
        <v>13.9</v>
      </c>
      <c r="E72" s="32">
        <f>E34</f>
        <v>1914</v>
      </c>
      <c r="F72" s="39">
        <f>F34</f>
        <v>119.5</v>
      </c>
      <c r="G72" s="15">
        <v>15</v>
      </c>
      <c r="I72" s="29">
        <f>G72/F72</f>
        <v>0.12552301255230125</v>
      </c>
      <c r="J72" s="19">
        <f>E72 * $M$8</f>
        <v>5761.1399999999994</v>
      </c>
      <c r="K72" s="21">
        <f>SQRT(E72*$M$8)</f>
        <v>75.902173881911963</v>
      </c>
      <c r="L72" s="21">
        <f>SQRT(G72 * $M$8)</f>
        <v>6.719374970932936</v>
      </c>
      <c r="M72" s="21">
        <f>SQRT($N$8 * $M$8 *F72)</f>
        <v>11.994915589532091</v>
      </c>
      <c r="N72" s="16">
        <f>$O$8</f>
        <v>11.6</v>
      </c>
      <c r="O72" s="21">
        <f t="shared" si="95"/>
        <v>78.004666527073866</v>
      </c>
      <c r="P72" s="22">
        <f t="shared" si="96"/>
        <v>73.856350606927123</v>
      </c>
      <c r="Q72" s="15">
        <v>59</v>
      </c>
      <c r="R72" s="15"/>
      <c r="T72" s="15">
        <v>3600</v>
      </c>
      <c r="U72" s="15">
        <v>100</v>
      </c>
      <c r="V72" s="19">
        <f>P72 *SQRT(T72/F72)</f>
        <v>405.37330168999335</v>
      </c>
      <c r="W72" s="21">
        <f t="shared" si="97"/>
        <v>1.5196378555241301</v>
      </c>
      <c r="X72" s="22">
        <f>W72+D72</f>
        <v>15.41963785552413</v>
      </c>
    </row>
    <row r="73" spans="1:25" s="16" customFormat="1">
      <c r="A73" s="16" t="s">
        <v>143</v>
      </c>
      <c r="B73" s="32" t="str">
        <f>B35</f>
        <v>FS126</v>
      </c>
      <c r="C73" s="31">
        <f>Q35</f>
        <v>2.177</v>
      </c>
      <c r="D73" s="38">
        <f>D35</f>
        <v>11.64</v>
      </c>
      <c r="E73" s="32">
        <f>E35</f>
        <v>4239</v>
      </c>
      <c r="F73" s="39">
        <f>F35</f>
        <v>19.18</v>
      </c>
      <c r="G73" s="15">
        <v>30</v>
      </c>
      <c r="I73" s="29">
        <f>G73/F73</f>
        <v>1.5641293013555788</v>
      </c>
      <c r="J73" s="19">
        <f>E73 * $M$8</f>
        <v>12759.39</v>
      </c>
      <c r="K73" s="21">
        <f>SQRT(E73*$M$8)</f>
        <v>112.95746987251441</v>
      </c>
      <c r="L73" s="21">
        <f>SQRT(G73 * $M$8)</f>
        <v>9.5026312145636798</v>
      </c>
      <c r="M73" s="21">
        <f>SQRT($N$8 * $M$8 *F73)</f>
        <v>4.8054885287554274</v>
      </c>
      <c r="N73" s="16">
        <f>$O$8</f>
        <v>11.6</v>
      </c>
      <c r="O73" s="21">
        <f t="shared" si="95"/>
        <v>114.04973792166294</v>
      </c>
      <c r="P73" s="22">
        <f t="shared" si="96"/>
        <v>111.87566260576601</v>
      </c>
      <c r="Q73" s="15">
        <v>115</v>
      </c>
      <c r="R73" s="15"/>
      <c r="T73" s="15">
        <v>3600</v>
      </c>
      <c r="U73" s="15">
        <v>100</v>
      </c>
      <c r="V73" s="19">
        <f>P73 *SQRT(T73/F73)</f>
        <v>1532.7191003201428</v>
      </c>
      <c r="W73" s="21">
        <f t="shared" si="97"/>
        <v>2.9636564237324432</v>
      </c>
      <c r="X73" s="22">
        <f>W73+D73</f>
        <v>14.603656423732444</v>
      </c>
      <c r="Y73" s="55" t="s">
        <v>54</v>
      </c>
    </row>
    <row r="74" spans="1:25" s="16" customFormat="1">
      <c r="A74" s="16" t="s">
        <v>143</v>
      </c>
      <c r="B74" s="32" t="str">
        <f>B36</f>
        <v>FS126</v>
      </c>
      <c r="C74" s="31">
        <f>Q36</f>
        <v>2.177</v>
      </c>
      <c r="D74" s="38">
        <f>D36</f>
        <v>11.64</v>
      </c>
      <c r="E74" s="32">
        <f>E36</f>
        <v>5636</v>
      </c>
      <c r="F74" s="39">
        <f>F36</f>
        <v>19.18</v>
      </c>
      <c r="G74" s="15">
        <v>34</v>
      </c>
      <c r="I74" s="29">
        <f>G74/F74</f>
        <v>1.7726798748696559</v>
      </c>
      <c r="J74" s="19">
        <f>E74 * $M$8</f>
        <v>16964.36</v>
      </c>
      <c r="K74" s="21">
        <f>SQRT(E74*$M$8)</f>
        <v>130.24730323503823</v>
      </c>
      <c r="L74" s="21">
        <f>SQRT(G74 * $M$8)</f>
        <v>10.11632344283238</v>
      </c>
      <c r="M74" s="21">
        <f>SQRT($N$8 * $M$8 *F74)</f>
        <v>4.8054885287554274</v>
      </c>
      <c r="N74" s="16">
        <f>$O$8</f>
        <v>11.6</v>
      </c>
      <c r="O74" s="21">
        <f t="shared" ref="O74" si="98">SQRT(K74^2 + L74^2 + M74^2 + N74^2)</f>
        <v>131.24158152049222</v>
      </c>
      <c r="P74" s="22">
        <f t="shared" ref="P74" si="99">J74/O74</f>
        <v>129.2605575417511</v>
      </c>
      <c r="Q74" s="15">
        <v>145</v>
      </c>
      <c r="R74" s="15"/>
      <c r="T74" s="15">
        <v>3600</v>
      </c>
      <c r="U74" s="15">
        <v>100</v>
      </c>
      <c r="V74" s="19">
        <f>P74 *SQRT(T74/F74)</f>
        <v>1770.8956608410899</v>
      </c>
      <c r="W74" s="21">
        <f t="shared" ref="W74" si="100">2.5 *LOG10(V74/U74)</f>
        <v>3.1204824345168909</v>
      </c>
      <c r="X74" s="22">
        <f>W74+D74</f>
        <v>14.760482434516891</v>
      </c>
      <c r="Y74" s="55" t="s">
        <v>201</v>
      </c>
    </row>
    <row r="75" spans="1:25" s="23" customFormat="1">
      <c r="C75" s="18"/>
      <c r="D75" s="27"/>
      <c r="F75" s="26"/>
      <c r="I75" s="26"/>
      <c r="J75" s="25"/>
      <c r="K75" s="27"/>
      <c r="L75" s="27"/>
      <c r="M75" s="27"/>
      <c r="O75" s="27"/>
      <c r="P75" s="27"/>
      <c r="V75" s="25"/>
      <c r="W75" s="27"/>
      <c r="X75" s="27"/>
    </row>
    <row r="76" spans="1:25" s="13" customFormat="1">
      <c r="A76" s="16" t="s">
        <v>96</v>
      </c>
      <c r="B76" s="32" t="str">
        <f t="shared" ref="B76:B78" si="101">B38</f>
        <v>FS2</v>
      </c>
      <c r="C76" s="31">
        <f>Q38</f>
        <v>1.089</v>
      </c>
      <c r="D76" s="38">
        <f>D38</f>
        <v>10.72</v>
      </c>
      <c r="E76" s="32">
        <f>E38</f>
        <v>9655</v>
      </c>
      <c r="F76" s="39">
        <f>F38</f>
        <v>89.99</v>
      </c>
      <c r="G76" s="15">
        <v>23</v>
      </c>
      <c r="I76" s="29">
        <f t="shared" ref="I76:I82" si="102">G76/F76</f>
        <v>0.25558395377264143</v>
      </c>
      <c r="J76" s="19">
        <f t="shared" ref="J76:J82" si="103">E76 * $M$8</f>
        <v>29061.55</v>
      </c>
      <c r="K76" s="21">
        <f t="shared" ref="K76:K82" si="104">SQRT(E76*$M$8)</f>
        <v>170.47448489436769</v>
      </c>
      <c r="L76" s="21">
        <f t="shared" ref="L76:L82" si="105">SQRT(G76 * $M$8)</f>
        <v>8.3204567182336806</v>
      </c>
      <c r="M76" s="21">
        <f t="shared" ref="M76:M82" si="106">SQRT($N$8 * $M$8 *F76)</f>
        <v>10.409032615954279</v>
      </c>
      <c r="N76" s="16">
        <f t="shared" ref="N76:N82" si="107">$O$8</f>
        <v>11.6</v>
      </c>
      <c r="O76" s="21">
        <f t="shared" ref="O76:O78" si="108">SQRT(K76^2 + L76^2 + M76^2 + N76^2)</f>
        <v>171.38753735321598</v>
      </c>
      <c r="P76" s="22">
        <f t="shared" ref="P76:P78" si="109">J76/O76</f>
        <v>169.56629664446649</v>
      </c>
      <c r="Q76" s="15">
        <v>103</v>
      </c>
      <c r="R76" s="14"/>
      <c r="T76" s="15">
        <v>3600</v>
      </c>
      <c r="U76" s="15">
        <v>100</v>
      </c>
      <c r="V76" s="19">
        <f t="shared" ref="V76:V82" si="110">P76 *SQRT(T76/F76)</f>
        <v>1072.4910080815148</v>
      </c>
      <c r="W76" s="21">
        <f t="shared" ref="W76:W78" si="111">2.5 *LOG10(V76/U76)</f>
        <v>2.57598414921195</v>
      </c>
      <c r="X76" s="22">
        <f t="shared" ref="X76:X82" si="112">W76+D76</f>
        <v>13.29598414921195</v>
      </c>
    </row>
    <row r="77" spans="1:25" s="13" customFormat="1">
      <c r="A77" s="16" t="s">
        <v>78</v>
      </c>
      <c r="B77" s="32" t="str">
        <f t="shared" si="101"/>
        <v>FS2</v>
      </c>
      <c r="C77" s="31">
        <f>Q39</f>
        <v>1.25</v>
      </c>
      <c r="D77" s="38">
        <f>D39</f>
        <v>10.72</v>
      </c>
      <c r="E77" s="32">
        <f>E39</f>
        <v>15024</v>
      </c>
      <c r="F77" s="39">
        <f>F39</f>
        <v>89.99</v>
      </c>
      <c r="G77" s="15">
        <v>18</v>
      </c>
      <c r="I77" s="29">
        <f t="shared" si="102"/>
        <v>0.20002222469163242</v>
      </c>
      <c r="J77" s="19">
        <f t="shared" si="103"/>
        <v>45222.239999999998</v>
      </c>
      <c r="K77" s="21">
        <f t="shared" si="104"/>
        <v>212.65521390269274</v>
      </c>
      <c r="L77" s="21">
        <f t="shared" si="105"/>
        <v>7.3607064878311776</v>
      </c>
      <c r="M77" s="21">
        <f t="shared" si="106"/>
        <v>10.409032615954279</v>
      </c>
      <c r="N77" s="16">
        <f t="shared" si="107"/>
        <v>11.6</v>
      </c>
      <c r="O77" s="21">
        <f t="shared" si="108"/>
        <v>213.35259070374562</v>
      </c>
      <c r="P77" s="22">
        <f t="shared" si="109"/>
        <v>211.96011658838543</v>
      </c>
      <c r="Q77" s="15">
        <v>153</v>
      </c>
      <c r="R77" s="14"/>
      <c r="T77" s="15">
        <v>3600</v>
      </c>
      <c r="U77" s="15">
        <v>100</v>
      </c>
      <c r="V77" s="19">
        <f t="shared" si="110"/>
        <v>1340.6279644686176</v>
      </c>
      <c r="W77" s="21">
        <f t="shared" si="111"/>
        <v>2.8182706855029576</v>
      </c>
      <c r="X77" s="22">
        <f t="shared" si="112"/>
        <v>13.538270685502958</v>
      </c>
    </row>
    <row r="78" spans="1:25" s="13" customFormat="1">
      <c r="A78" s="16" t="s">
        <v>77</v>
      </c>
      <c r="B78" s="32" t="str">
        <f t="shared" si="101"/>
        <v>FS2</v>
      </c>
      <c r="C78" s="31">
        <f>Q40</f>
        <v>1.6559999999999999</v>
      </c>
      <c r="D78" s="38">
        <f>D40</f>
        <v>10.51</v>
      </c>
      <c r="E78" s="32">
        <f>E40</f>
        <v>7602</v>
      </c>
      <c r="F78" s="39">
        <f>F40</f>
        <v>89.99</v>
      </c>
      <c r="G78" s="15">
        <v>26</v>
      </c>
      <c r="I78" s="29">
        <f t="shared" si="102"/>
        <v>0.28892099122124681</v>
      </c>
      <c r="J78" s="19">
        <f t="shared" si="103"/>
        <v>22882.019999999997</v>
      </c>
      <c r="K78" s="21">
        <f t="shared" si="104"/>
        <v>151.26804024644466</v>
      </c>
      <c r="L78" s="21">
        <f t="shared" si="105"/>
        <v>8.8464682218385882</v>
      </c>
      <c r="M78" s="21">
        <f t="shared" si="106"/>
        <v>10.409032615954279</v>
      </c>
      <c r="N78" s="16">
        <f t="shared" si="107"/>
        <v>11.6</v>
      </c>
      <c r="O78" s="21">
        <f t="shared" si="108"/>
        <v>152.32592674919132</v>
      </c>
      <c r="P78" s="22">
        <f t="shared" si="109"/>
        <v>150.21750064698998</v>
      </c>
      <c r="Q78" s="15">
        <v>129</v>
      </c>
      <c r="R78" s="14"/>
      <c r="T78" s="15">
        <v>3600</v>
      </c>
      <c r="U78" s="15">
        <v>100</v>
      </c>
      <c r="V78" s="19">
        <f t="shared" si="110"/>
        <v>950.11167837304606</v>
      </c>
      <c r="W78" s="21">
        <f t="shared" si="111"/>
        <v>2.4444366407236231</v>
      </c>
      <c r="X78" s="22">
        <f t="shared" si="112"/>
        <v>12.954436640723623</v>
      </c>
    </row>
    <row r="79" spans="1:25" s="13" customFormat="1">
      <c r="A79" s="16" t="s">
        <v>74</v>
      </c>
      <c r="B79" s="32" t="str">
        <f>B41</f>
        <v>FS2</v>
      </c>
      <c r="C79" s="31">
        <f t="shared" ref="C79" si="113">Q41</f>
        <v>2.177</v>
      </c>
      <c r="D79" s="38">
        <f>D41</f>
        <v>10.47</v>
      </c>
      <c r="E79" s="32">
        <f>E41</f>
        <v>7542</v>
      </c>
      <c r="F79" s="39">
        <f>F41</f>
        <v>59.01</v>
      </c>
      <c r="G79" s="15">
        <v>22</v>
      </c>
      <c r="I79" s="29">
        <f t="shared" si="102"/>
        <v>0.37281816641247245</v>
      </c>
      <c r="J79" s="19">
        <f t="shared" si="103"/>
        <v>22701.42</v>
      </c>
      <c r="K79" s="21">
        <f t="shared" si="104"/>
        <v>150.66990409501162</v>
      </c>
      <c r="L79" s="21">
        <f t="shared" si="105"/>
        <v>8.1375672040235703</v>
      </c>
      <c r="M79" s="21">
        <f t="shared" si="106"/>
        <v>8.428999940680983</v>
      </c>
      <c r="N79" s="16">
        <f t="shared" si="107"/>
        <v>11.6</v>
      </c>
      <c r="O79" s="21">
        <f t="shared" ref="O79" si="114">SQRT(K79^2 + L79^2 + M79^2 + N79^2)</f>
        <v>151.56928461927899</v>
      </c>
      <c r="P79" s="22">
        <f t="shared" ref="P79" si="115">J79/O79</f>
        <v>149.77586030720417</v>
      </c>
      <c r="Q79" s="15">
        <v>132</v>
      </c>
      <c r="R79" s="15"/>
      <c r="S79" s="16"/>
      <c r="T79" s="15">
        <v>3600</v>
      </c>
      <c r="U79" s="15">
        <v>100</v>
      </c>
      <c r="V79" s="19">
        <f t="shared" si="110"/>
        <v>1169.8502330268836</v>
      </c>
      <c r="W79" s="21">
        <f t="shared" ref="W79" si="116">2.5 *LOG10(V79/U79)</f>
        <v>2.6703256647643463</v>
      </c>
      <c r="X79" s="22">
        <f t="shared" si="112"/>
        <v>13.140325664764347</v>
      </c>
      <c r="Y79" s="55" t="s">
        <v>54</v>
      </c>
    </row>
    <row r="80" spans="1:25" s="13" customFormat="1">
      <c r="A80" s="16" t="s">
        <v>74</v>
      </c>
      <c r="B80" s="32" t="str">
        <f>B42</f>
        <v>FS2</v>
      </c>
      <c r="C80" s="31">
        <f t="shared" ref="C80" si="117">Q42</f>
        <v>2.177</v>
      </c>
      <c r="D80" s="38">
        <f>D42</f>
        <v>10.47</v>
      </c>
      <c r="E80" s="32">
        <f>E42</f>
        <v>7785</v>
      </c>
      <c r="F80" s="39">
        <f>F42</f>
        <v>59.01</v>
      </c>
      <c r="G80" s="15">
        <v>19</v>
      </c>
      <c r="I80" s="29">
        <f t="shared" ref="I80" si="118">G80/F80</f>
        <v>0.32197932553804443</v>
      </c>
      <c r="J80" s="19">
        <f t="shared" ref="J80" si="119">E80 * $M$8</f>
        <v>23432.85</v>
      </c>
      <c r="K80" s="21">
        <f t="shared" ref="K80" si="120">SQRT(E80*$M$8)</f>
        <v>153.07792133420156</v>
      </c>
      <c r="L80" s="21">
        <f t="shared" ref="L80" si="121">SQRT(G80 * $M$8)</f>
        <v>7.5624070242218515</v>
      </c>
      <c r="M80" s="21">
        <f t="shared" ref="M80" si="122">SQRT($N$8 * $M$8 *F80)</f>
        <v>8.428999940680983</v>
      </c>
      <c r="N80" s="16">
        <f t="shared" si="107"/>
        <v>11.6</v>
      </c>
      <c r="O80" s="21">
        <f t="shared" ref="O80" si="123">SQRT(K80^2 + L80^2 + M80^2 + N80^2)</f>
        <v>153.93390802548996</v>
      </c>
      <c r="P80" s="22">
        <f t="shared" ref="P80" si="124">J80/O80</f>
        <v>152.22669456374581</v>
      </c>
      <c r="Q80" s="15">
        <v>122</v>
      </c>
      <c r="R80" s="15"/>
      <c r="S80" s="16"/>
      <c r="T80" s="15">
        <v>3600</v>
      </c>
      <c r="U80" s="15">
        <v>100</v>
      </c>
      <c r="V80" s="19">
        <f t="shared" ref="V80" si="125">P80 *SQRT(T80/F80)</f>
        <v>1188.9928974071436</v>
      </c>
      <c r="W80" s="21">
        <f t="shared" ref="W80" si="126">2.5 *LOG10(V80/U80)</f>
        <v>2.6879481507895848</v>
      </c>
      <c r="X80" s="22">
        <f t="shared" ref="X80" si="127">W80+D80</f>
        <v>13.157948150789586</v>
      </c>
      <c r="Y80" s="55" t="s">
        <v>201</v>
      </c>
    </row>
    <row r="81" spans="1:24">
      <c r="A81" s="16" t="s">
        <v>79</v>
      </c>
      <c r="B81" s="32" t="str">
        <f>B43</f>
        <v>FS107</v>
      </c>
      <c r="C81" s="31">
        <f t="shared" ref="C81" si="128">Q43</f>
        <v>3.4630000000000001</v>
      </c>
      <c r="D81" s="38">
        <f t="shared" ref="D81:F82" si="129">D43</f>
        <v>9.9499999999999993</v>
      </c>
      <c r="E81" s="32">
        <f t="shared" si="129"/>
        <v>3250</v>
      </c>
      <c r="F81" s="39">
        <f t="shared" si="129"/>
        <v>44.3</v>
      </c>
      <c r="G81" s="15">
        <v>5000</v>
      </c>
      <c r="H81" s="13"/>
      <c r="I81" s="29">
        <f t="shared" si="102"/>
        <v>112.86681715575621</v>
      </c>
      <c r="J81" s="19">
        <f t="shared" si="103"/>
        <v>9782.5</v>
      </c>
      <c r="K81" s="21">
        <f t="shared" si="104"/>
        <v>98.90652152411387</v>
      </c>
      <c r="L81" s="21">
        <f t="shared" si="105"/>
        <v>122.67844146385296</v>
      </c>
      <c r="M81" s="21">
        <f t="shared" si="106"/>
        <v>7.3032321611735718</v>
      </c>
      <c r="N81" s="16">
        <f t="shared" si="107"/>
        <v>11.6</v>
      </c>
      <c r="O81" s="21">
        <f t="shared" ref="O81" si="130">SQRT(K81^2 + L81^2 + M81^2 + N81^2)</f>
        <v>158.17837146715098</v>
      </c>
      <c r="P81" s="22">
        <f t="shared" ref="P81" si="131">J81/O81</f>
        <v>61.844738375192712</v>
      </c>
      <c r="Q81" s="15">
        <v>28</v>
      </c>
      <c r="R81" s="15"/>
      <c r="S81" s="16"/>
      <c r="T81" s="15">
        <v>3600</v>
      </c>
      <c r="U81" s="15">
        <v>100</v>
      </c>
      <c r="V81" s="19">
        <f t="shared" si="110"/>
        <v>557.50933533176863</v>
      </c>
      <c r="W81" s="21">
        <f t="shared" ref="W81" si="132">2.5 *LOG10(V81/U81)</f>
        <v>1.8656303597898669</v>
      </c>
      <c r="X81" s="22">
        <f t="shared" si="112"/>
        <v>11.815630359789866</v>
      </c>
    </row>
    <row r="82" spans="1:24">
      <c r="A82" s="16" t="s">
        <v>80</v>
      </c>
      <c r="B82" s="32" t="str">
        <f>B44</f>
        <v>HIP18907</v>
      </c>
      <c r="C82" s="31">
        <f t="shared" ref="C82" si="133">Q44</f>
        <v>4.7619999999999996</v>
      </c>
      <c r="D82" s="38">
        <f t="shared" si="129"/>
        <v>3.78</v>
      </c>
      <c r="E82" s="32">
        <f t="shared" si="129"/>
        <v>91622</v>
      </c>
      <c r="F82" s="39">
        <f t="shared" si="129"/>
        <v>14.75</v>
      </c>
      <c r="G82" s="15">
        <v>24600</v>
      </c>
      <c r="H82" s="13"/>
      <c r="I82" s="29">
        <f t="shared" si="102"/>
        <v>1667.7966101694915</v>
      </c>
      <c r="J82" s="19">
        <f t="shared" si="103"/>
        <v>275782.21999999997</v>
      </c>
      <c r="K82" s="21">
        <f t="shared" si="104"/>
        <v>525.14971198697231</v>
      </c>
      <c r="L82" s="21">
        <f t="shared" si="105"/>
        <v>272.11394672085441</v>
      </c>
      <c r="M82" s="21">
        <f t="shared" si="106"/>
        <v>4.2141428547214677</v>
      </c>
      <c r="N82" s="16">
        <f t="shared" si="107"/>
        <v>11.6</v>
      </c>
      <c r="O82" s="21">
        <f t="shared" ref="O82" si="134">SQRT(K82^2 + L82^2 + M82^2 + N82^2)</f>
        <v>591.59153053437137</v>
      </c>
      <c r="P82" s="22">
        <f t="shared" ref="P82" si="135">J82/O82</f>
        <v>466.16999359489154</v>
      </c>
      <c r="Q82" s="15" t="s">
        <v>72</v>
      </c>
      <c r="R82" s="15"/>
      <c r="S82" s="16"/>
      <c r="T82" s="15">
        <v>3600</v>
      </c>
      <c r="U82" s="15">
        <v>100</v>
      </c>
      <c r="V82" s="19">
        <f t="shared" si="110"/>
        <v>7282.8196557667879</v>
      </c>
      <c r="W82" s="21">
        <f t="shared" ref="W82" si="136">2.5 *LOG10(V82/U82)</f>
        <v>4.6557488891671985</v>
      </c>
      <c r="X82" s="22">
        <f t="shared" si="112"/>
        <v>8.4357488891671988</v>
      </c>
    </row>
  </sheetData>
  <pageMargins left="0.75" right="0.75" top="1" bottom="1" header="0.5" footer="0.5"/>
  <pageSetup orientation="portrait" horizontalDpi="4294967292" verticalDpi="4294967292"/>
  <ignoredErrors>
    <ignoredError sqref="H38:H4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25" zoomScaleNormal="125" zoomScalePageLayoutView="125" workbookViewId="0">
      <selection activeCell="A2" sqref="A2"/>
    </sheetView>
  </sheetViews>
  <sheetFormatPr baseColWidth="10" defaultRowHeight="15" x14ac:dyDescent="0"/>
  <cols>
    <col min="3" max="3" width="13" customWidth="1"/>
    <col min="5" max="5" width="12.33203125" customWidth="1"/>
    <col min="6" max="6" width="14" customWidth="1"/>
    <col min="10" max="10" width="13.83203125" customWidth="1"/>
  </cols>
  <sheetData>
    <row r="1" spans="1:14" ht="25">
      <c r="A1" s="30" t="s">
        <v>172</v>
      </c>
      <c r="J1" t="s">
        <v>108</v>
      </c>
    </row>
    <row r="2" spans="1:14">
      <c r="C2" t="s">
        <v>109</v>
      </c>
      <c r="D2" t="s">
        <v>147</v>
      </c>
      <c r="E2" t="s">
        <v>99</v>
      </c>
      <c r="F2" t="s">
        <v>50</v>
      </c>
      <c r="G2" t="s">
        <v>142</v>
      </c>
      <c r="H2" t="s">
        <v>165</v>
      </c>
      <c r="I2" t="s">
        <v>166</v>
      </c>
      <c r="J2" t="s">
        <v>107</v>
      </c>
      <c r="L2" t="s">
        <v>71</v>
      </c>
      <c r="N2" t="s">
        <v>163</v>
      </c>
    </row>
    <row r="3" spans="1:14">
      <c r="C3" t="s">
        <v>111</v>
      </c>
      <c r="D3" t="s">
        <v>110</v>
      </c>
      <c r="E3" t="s">
        <v>141</v>
      </c>
      <c r="G3" t="s">
        <v>21</v>
      </c>
      <c r="H3" t="s">
        <v>20</v>
      </c>
      <c r="J3" t="s">
        <v>167</v>
      </c>
    </row>
    <row r="4" spans="1:14">
      <c r="A4" s="12" t="s">
        <v>98</v>
      </c>
    </row>
    <row r="6" spans="1:14">
      <c r="A6" t="s">
        <v>63</v>
      </c>
      <c r="C6" s="10">
        <v>43985</v>
      </c>
      <c r="D6" s="52">
        <v>1941</v>
      </c>
      <c r="E6" t="s">
        <v>106</v>
      </c>
      <c r="F6" t="s">
        <v>117</v>
      </c>
      <c r="G6" s="1">
        <v>110</v>
      </c>
      <c r="H6" s="48">
        <v>1.3</v>
      </c>
      <c r="I6" s="50">
        <v>1</v>
      </c>
      <c r="J6" s="11">
        <f t="shared" ref="J6:J12" si="0">G6/(H6*I6)</f>
        <v>84.615384615384613</v>
      </c>
      <c r="L6" t="s">
        <v>121</v>
      </c>
      <c r="N6" t="s">
        <v>168</v>
      </c>
    </row>
    <row r="7" spans="1:14">
      <c r="A7" t="s">
        <v>60</v>
      </c>
      <c r="C7" s="10">
        <v>43985</v>
      </c>
      <c r="D7" s="52">
        <v>1736</v>
      </c>
      <c r="E7" s="9" t="s">
        <v>105</v>
      </c>
      <c r="F7" t="s">
        <v>117</v>
      </c>
      <c r="G7" s="1">
        <v>210</v>
      </c>
      <c r="H7" s="48">
        <v>1</v>
      </c>
      <c r="I7" s="50">
        <v>1</v>
      </c>
      <c r="J7" s="11">
        <f t="shared" si="0"/>
        <v>210</v>
      </c>
      <c r="L7" t="s">
        <v>121</v>
      </c>
      <c r="N7" t="s">
        <v>168</v>
      </c>
    </row>
    <row r="8" spans="1:14">
      <c r="A8" t="s">
        <v>59</v>
      </c>
      <c r="C8" s="10">
        <v>43985</v>
      </c>
      <c r="D8" s="52" t="s">
        <v>175</v>
      </c>
      <c r="E8" t="s">
        <v>104</v>
      </c>
      <c r="F8" t="s">
        <v>117</v>
      </c>
      <c r="G8" s="1">
        <v>480</v>
      </c>
      <c r="H8" s="48">
        <v>1.31</v>
      </c>
      <c r="I8" s="50">
        <v>1</v>
      </c>
      <c r="J8" s="11">
        <f t="shared" si="0"/>
        <v>366.41221374045801</v>
      </c>
      <c r="L8" t="s">
        <v>118</v>
      </c>
      <c r="N8" t="s">
        <v>168</v>
      </c>
    </row>
    <row r="9" spans="1:14">
      <c r="A9" t="s">
        <v>143</v>
      </c>
      <c r="C9" s="10">
        <v>43985</v>
      </c>
      <c r="D9" s="52" t="s">
        <v>177</v>
      </c>
      <c r="E9" t="s">
        <v>103</v>
      </c>
      <c r="F9" t="s">
        <v>117</v>
      </c>
      <c r="G9" s="1">
        <v>2150</v>
      </c>
      <c r="H9" s="48">
        <v>1.31</v>
      </c>
      <c r="I9" s="50">
        <v>1</v>
      </c>
      <c r="J9" s="11">
        <f t="shared" si="0"/>
        <v>1641.2213740458014</v>
      </c>
      <c r="L9" t="s">
        <v>121</v>
      </c>
      <c r="N9" t="s">
        <v>168</v>
      </c>
    </row>
    <row r="10" spans="1:14">
      <c r="A10" t="s">
        <v>143</v>
      </c>
      <c r="C10" s="10">
        <v>43985</v>
      </c>
      <c r="D10" s="52" t="s">
        <v>178</v>
      </c>
      <c r="E10" t="s">
        <v>102</v>
      </c>
      <c r="F10" t="s">
        <v>117</v>
      </c>
      <c r="G10" s="1">
        <v>10300</v>
      </c>
      <c r="H10" s="48">
        <v>1.31</v>
      </c>
      <c r="I10" s="50">
        <v>1</v>
      </c>
      <c r="J10" s="11">
        <f t="shared" si="0"/>
        <v>7862.5954198473282</v>
      </c>
      <c r="L10" t="s">
        <v>119</v>
      </c>
      <c r="N10" t="s">
        <v>168</v>
      </c>
    </row>
    <row r="11" spans="1:14">
      <c r="A11" t="s">
        <v>66</v>
      </c>
      <c r="C11" s="10">
        <v>43985</v>
      </c>
      <c r="D11" s="52" t="s">
        <v>179</v>
      </c>
      <c r="E11" t="s">
        <v>101</v>
      </c>
      <c r="F11" t="s">
        <v>68</v>
      </c>
      <c r="G11" s="1">
        <v>2825</v>
      </c>
      <c r="H11" s="48">
        <v>1.31</v>
      </c>
      <c r="I11" s="50">
        <v>1</v>
      </c>
      <c r="J11" s="11">
        <f t="shared" si="0"/>
        <v>2156.4885496183206</v>
      </c>
      <c r="L11" t="s">
        <v>119</v>
      </c>
      <c r="N11" t="s">
        <v>168</v>
      </c>
    </row>
    <row r="12" spans="1:14">
      <c r="A12" t="s">
        <v>83</v>
      </c>
      <c r="C12" s="10">
        <v>43985</v>
      </c>
      <c r="D12" s="52" t="s">
        <v>176</v>
      </c>
      <c r="E12" t="s">
        <v>100</v>
      </c>
      <c r="F12" t="s">
        <v>68</v>
      </c>
      <c r="G12" s="1">
        <v>10700</v>
      </c>
      <c r="H12" s="48">
        <v>1.31</v>
      </c>
      <c r="I12" s="50">
        <v>1</v>
      </c>
      <c r="J12" s="11">
        <f t="shared" si="0"/>
        <v>8167.93893129771</v>
      </c>
      <c r="L12" t="s">
        <v>119</v>
      </c>
      <c r="N12" t="s">
        <v>168</v>
      </c>
    </row>
    <row r="13" spans="1:14">
      <c r="H13" s="49"/>
      <c r="I13" s="51"/>
    </row>
    <row r="14" spans="1:14">
      <c r="A14" s="12" t="s">
        <v>97</v>
      </c>
      <c r="H14" s="49"/>
      <c r="I14" s="51"/>
    </row>
    <row r="15" spans="1:14">
      <c r="H15" s="49"/>
      <c r="I15" s="51"/>
    </row>
    <row r="16" spans="1:14">
      <c r="A16" t="s">
        <v>96</v>
      </c>
      <c r="C16" s="10">
        <v>43988</v>
      </c>
      <c r="D16" s="52">
        <v>774</v>
      </c>
      <c r="E16" t="s">
        <v>115</v>
      </c>
      <c r="F16" t="s">
        <v>75</v>
      </c>
      <c r="G16" s="1">
        <v>7</v>
      </c>
      <c r="H16" s="48">
        <v>0.65500000000000003</v>
      </c>
      <c r="I16" s="50">
        <v>1</v>
      </c>
      <c r="J16" s="11">
        <f t="shared" ref="J16:J21" si="1">G16/(H16*I16)</f>
        <v>10.687022900763358</v>
      </c>
      <c r="L16" t="s">
        <v>125</v>
      </c>
      <c r="N16" t="s">
        <v>164</v>
      </c>
    </row>
    <row r="17" spans="1:14">
      <c r="A17" t="s">
        <v>78</v>
      </c>
      <c r="C17" s="10">
        <v>43988</v>
      </c>
      <c r="D17" s="52">
        <v>698</v>
      </c>
      <c r="E17" t="s">
        <v>116</v>
      </c>
      <c r="F17" t="s">
        <v>75</v>
      </c>
      <c r="G17" s="1">
        <v>8</v>
      </c>
      <c r="H17" s="48">
        <v>0.65500000000000003</v>
      </c>
      <c r="I17" s="50">
        <v>1</v>
      </c>
      <c r="J17" s="11">
        <f t="shared" si="1"/>
        <v>12.213740458015266</v>
      </c>
      <c r="L17" t="s">
        <v>125</v>
      </c>
      <c r="N17" t="s">
        <v>164</v>
      </c>
    </row>
    <row r="18" spans="1:14">
      <c r="A18" t="s">
        <v>77</v>
      </c>
      <c r="C18" s="10">
        <v>43988</v>
      </c>
      <c r="D18" s="52">
        <v>565</v>
      </c>
      <c r="E18" t="s">
        <v>114</v>
      </c>
      <c r="F18" t="s">
        <v>75</v>
      </c>
      <c r="G18" s="1">
        <v>10</v>
      </c>
      <c r="H18" s="48">
        <v>0.65500000000000003</v>
      </c>
      <c r="I18" s="50">
        <v>1</v>
      </c>
      <c r="J18" s="11">
        <f t="shared" si="1"/>
        <v>15.267175572519083</v>
      </c>
      <c r="L18" t="s">
        <v>125</v>
      </c>
      <c r="N18" t="s">
        <v>164</v>
      </c>
    </row>
    <row r="19" spans="1:14">
      <c r="A19" t="s">
        <v>73</v>
      </c>
      <c r="C19" s="10">
        <v>43988</v>
      </c>
      <c r="D19" s="52" t="s">
        <v>173</v>
      </c>
      <c r="E19" t="s">
        <v>112</v>
      </c>
      <c r="F19" t="s">
        <v>113</v>
      </c>
      <c r="G19" s="1">
        <v>40</v>
      </c>
      <c r="H19" s="48">
        <v>1.97</v>
      </c>
      <c r="I19" s="50">
        <v>1</v>
      </c>
      <c r="J19" s="11">
        <f t="shared" si="1"/>
        <v>20.304568527918782</v>
      </c>
      <c r="L19" t="s">
        <v>118</v>
      </c>
      <c r="N19" t="s">
        <v>164</v>
      </c>
    </row>
    <row r="20" spans="1:14">
      <c r="A20" t="s">
        <v>73</v>
      </c>
      <c r="C20" s="10">
        <v>43988</v>
      </c>
      <c r="D20" s="52" t="s">
        <v>174</v>
      </c>
      <c r="E20" t="s">
        <v>112</v>
      </c>
      <c r="F20" t="s">
        <v>127</v>
      </c>
      <c r="G20" s="1">
        <v>40</v>
      </c>
      <c r="H20" s="48">
        <v>1.97</v>
      </c>
      <c r="I20" s="50">
        <v>1</v>
      </c>
      <c r="J20" s="11">
        <f t="shared" si="1"/>
        <v>20.304568527918782</v>
      </c>
      <c r="L20" t="s">
        <v>118</v>
      </c>
      <c r="N20" t="s">
        <v>164</v>
      </c>
    </row>
    <row r="21" spans="1:14">
      <c r="A21" t="s">
        <v>73</v>
      </c>
      <c r="C21" s="10">
        <v>43988</v>
      </c>
      <c r="D21" s="52" t="s">
        <v>171</v>
      </c>
      <c r="E21" t="s">
        <v>102</v>
      </c>
      <c r="F21" t="s">
        <v>75</v>
      </c>
      <c r="G21" s="1">
        <v>80</v>
      </c>
      <c r="H21" s="48">
        <v>0.65500000000000003</v>
      </c>
      <c r="I21" s="50">
        <v>1</v>
      </c>
      <c r="J21" s="11">
        <f t="shared" si="1"/>
        <v>122.13740458015266</v>
      </c>
      <c r="L21" t="s">
        <v>118</v>
      </c>
      <c r="N21" t="s">
        <v>164</v>
      </c>
    </row>
    <row r="22" spans="1:14">
      <c r="A22" t="s">
        <v>79</v>
      </c>
      <c r="C22" s="10">
        <v>43988</v>
      </c>
      <c r="D22" s="52" t="s">
        <v>170</v>
      </c>
      <c r="E22" t="s">
        <v>101</v>
      </c>
      <c r="F22" t="s">
        <v>75</v>
      </c>
      <c r="G22" s="1">
        <v>35</v>
      </c>
      <c r="H22" s="48">
        <v>0.65500000000000003</v>
      </c>
      <c r="I22" s="50">
        <v>1</v>
      </c>
      <c r="J22" s="11">
        <f>G22/(H22*I22)</f>
        <v>53.435114503816791</v>
      </c>
      <c r="L22" t="s">
        <v>126</v>
      </c>
      <c r="N22" t="s">
        <v>164</v>
      </c>
    </row>
    <row r="23" spans="1:14">
      <c r="A23" t="s">
        <v>80</v>
      </c>
      <c r="C23" s="10">
        <v>43988</v>
      </c>
      <c r="D23" s="52" t="s">
        <v>169</v>
      </c>
      <c r="E23" t="s">
        <v>100</v>
      </c>
      <c r="F23" t="s">
        <v>75</v>
      </c>
      <c r="G23" s="1">
        <v>800</v>
      </c>
      <c r="H23" s="48">
        <v>9.83</v>
      </c>
      <c r="I23" s="50">
        <v>1</v>
      </c>
      <c r="J23" s="11">
        <f>G23/(H23*I23)</f>
        <v>81.383519837232953</v>
      </c>
      <c r="L23" t="s">
        <v>126</v>
      </c>
      <c r="N23" t="s">
        <v>164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</vt:lpstr>
      <vt:lpstr>SCAM</vt:lpstr>
    </vt:vector>
  </TitlesOfParts>
  <Company>W.M. Keck Observatory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Doppmann</dc:creator>
  <cp:lastModifiedBy>Greg Doppmann</cp:lastModifiedBy>
  <dcterms:created xsi:type="dcterms:W3CDTF">2020-04-07T19:58:52Z</dcterms:created>
  <dcterms:modified xsi:type="dcterms:W3CDTF">2022-12-02T00:57:38Z</dcterms:modified>
</cp:coreProperties>
</file>